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E:\Documents\UTP 2021\Comite CCI\Acta 4 CICI\"/>
    </mc:Choice>
  </mc:AlternateContent>
  <xr:revisionPtr revIDLastSave="0" documentId="13_ncr:1_{2ED286C8-E712-4AC6-9AB0-847B3A748DF3}" xr6:coauthVersionLast="46" xr6:coauthVersionMax="46" xr10:uidLastSave="{00000000-0000-0000-0000-000000000000}"/>
  <workbookProtection workbookAlgorithmName="SHA-512" workbookHashValue="9jQtbP/3si8rUvs2wgBjZUhMRFGt4Zb6NXVEaqpnJNnNeYTGpT8I3mht2dqdIG0Eb209l6jPTkr16YweuLGGNQ==" workbookSaltValue="WBvQ/3KuwhXnO+naULxypQ==" workbookSpinCount="100000" lockStructure="1"/>
  <bookViews>
    <workbookView xWindow="-120" yWindow="-120" windowWidth="20730" windowHeight="11160" firstSheet="2" activeTab="2" xr2:uid="{00000000-000D-0000-FFFF-FFFF00000000}"/>
  </bookViews>
  <sheets>
    <sheet name="1115-F02 Informe PM" sheetId="5" state="hidden" r:id="rId1"/>
    <sheet name="1115-F02 Informe avance" sheetId="6" state="hidden" r:id="rId2"/>
    <sheet name="1115-F02 Informe avance Plan m " sheetId="1" r:id="rId3"/>
    <sheet name="RESUMEN GRAFICOS" sheetId="7" state="hidden" r:id="rId4"/>
  </sheets>
  <definedNames>
    <definedName name="_xlnm._FilterDatabase" localSheetId="1" hidden="1">'1115-F02 Informe avance'!$A$14:$X$91</definedName>
    <definedName name="_xlnm._FilterDatabase" localSheetId="2" hidden="1">'1115-F02 Informe avance Plan m '!$A$14:$AG$134</definedName>
    <definedName name="_xlnm._FilterDatabase" localSheetId="0" hidden="1">'1115-F02 Informe PM'!$A$13:$CD$116</definedName>
    <definedName name="_xlnm.Print_Area" localSheetId="1">'1115-F02 Informe avance'!$A$1:$P$114</definedName>
    <definedName name="_xlnm.Print_Area" localSheetId="2">'1115-F02 Informe avance Plan m '!$A$1:$Q$140</definedName>
    <definedName name="_xlnm.Print_Area" localSheetId="0">'1115-F02 Informe PM'!$A$1:$O$94</definedName>
    <definedName name="_xlnm.Print_Titles" localSheetId="2">'1115-F02 Informe avance Plan m '!$13:$14</definedName>
    <definedName name="_xlnm.Print_Titles" localSheetId="0">'1115-F02 Informe PM'!$12:$13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E39" i="1" l="1"/>
  <c r="F38" i="1" l="1"/>
  <c r="F23" i="1" l="1"/>
  <c r="G24" i="1"/>
  <c r="A88" i="1" l="1"/>
  <c r="F76" i="1" l="1"/>
  <c r="Y15" i="5" l="1"/>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4" i="5"/>
  <c r="S116" i="5"/>
  <c r="S115" i="5"/>
  <c r="S114" i="5"/>
  <c r="S113" i="5"/>
  <c r="S112" i="5"/>
  <c r="S111" i="5"/>
  <c r="S110" i="5"/>
  <c r="S109" i="5"/>
  <c r="S108" i="5"/>
  <c r="S107" i="5"/>
  <c r="S106" i="5"/>
  <c r="S105" i="5"/>
  <c r="S104" i="5"/>
  <c r="S102" i="5"/>
  <c r="S101" i="5"/>
  <c r="S99" i="5"/>
  <c r="S98" i="5"/>
  <c r="S97" i="5"/>
  <c r="S96" i="5"/>
  <c r="S95" i="5"/>
  <c r="S94" i="5"/>
  <c r="S35" i="5"/>
  <c r="J15" i="1"/>
  <c r="S88" i="5"/>
  <c r="S103" i="5" l="1"/>
  <c r="S100" i="5"/>
  <c r="Q11" i="1" l="1"/>
  <c r="T133" i="1"/>
  <c r="T132" i="1"/>
  <c r="T131" i="1"/>
  <c r="X114" i="1"/>
  <c r="X115" i="1"/>
  <c r="X113" i="1"/>
  <c r="X111" i="1"/>
  <c r="X112" i="1"/>
  <c r="X108" i="1"/>
  <c r="X109" i="1"/>
  <c r="X110" i="1"/>
  <c r="X105" i="1"/>
  <c r="X106" i="1"/>
  <c r="X107" i="1"/>
  <c r="Y114" i="1" l="1"/>
  <c r="Z114" i="1" s="1"/>
  <c r="AA114" i="1" s="1"/>
  <c r="AE114" i="1" s="1"/>
  <c r="T134" i="1"/>
  <c r="Y105" i="1"/>
  <c r="Z105" i="1" s="1"/>
  <c r="AA105" i="1" s="1"/>
  <c r="AE105" i="1" s="1"/>
  <c r="Y108" i="1"/>
  <c r="Y111" i="1"/>
  <c r="Z111" i="1" l="1"/>
  <c r="AA111" i="1" s="1"/>
  <c r="AE111" i="1" s="1"/>
  <c r="Z108" i="1"/>
  <c r="AA108" i="1" s="1"/>
  <c r="AE108" i="1" s="1"/>
  <c r="F105" i="1"/>
  <c r="G105" i="1"/>
  <c r="H105" i="1"/>
  <c r="I105" i="1"/>
  <c r="J105" i="1"/>
  <c r="F106" i="1"/>
  <c r="G106" i="1"/>
  <c r="H106" i="1"/>
  <c r="I106" i="1"/>
  <c r="R106" i="1" s="1"/>
  <c r="S106" i="1" s="1"/>
  <c r="J106" i="1"/>
  <c r="F107" i="1"/>
  <c r="G107" i="1"/>
  <c r="H107" i="1"/>
  <c r="I107" i="1"/>
  <c r="J107" i="1"/>
  <c r="F108" i="1"/>
  <c r="G108" i="1"/>
  <c r="H108" i="1"/>
  <c r="I108" i="1"/>
  <c r="R108" i="1" s="1"/>
  <c r="S108" i="1" s="1"/>
  <c r="J108" i="1"/>
  <c r="F109" i="1"/>
  <c r="G109" i="1"/>
  <c r="H109" i="1"/>
  <c r="I109" i="1"/>
  <c r="J109" i="1"/>
  <c r="F110" i="1"/>
  <c r="G110" i="1"/>
  <c r="H110" i="1"/>
  <c r="I110" i="1"/>
  <c r="R110" i="1" s="1"/>
  <c r="S110" i="1" s="1"/>
  <c r="J110" i="1"/>
  <c r="F111" i="1"/>
  <c r="G111" i="1"/>
  <c r="H111" i="1"/>
  <c r="I111" i="1"/>
  <c r="J111" i="1"/>
  <c r="F112" i="1"/>
  <c r="G112" i="1"/>
  <c r="H112" i="1"/>
  <c r="I112" i="1"/>
  <c r="R112" i="1" s="1"/>
  <c r="S112" i="1" s="1"/>
  <c r="J112" i="1"/>
  <c r="F113" i="1"/>
  <c r="G113" i="1"/>
  <c r="H113" i="1"/>
  <c r="I113" i="1"/>
  <c r="J113" i="1"/>
  <c r="F114" i="1"/>
  <c r="G114" i="1"/>
  <c r="H114" i="1"/>
  <c r="I114" i="1"/>
  <c r="J114" i="1"/>
  <c r="F115" i="1"/>
  <c r="G115" i="1"/>
  <c r="H115" i="1"/>
  <c r="I115" i="1"/>
  <c r="J115" i="1"/>
  <c r="A105" i="1"/>
  <c r="B105" i="1"/>
  <c r="C105" i="1"/>
  <c r="D105" i="1"/>
  <c r="E105" i="1"/>
  <c r="A108" i="1"/>
  <c r="B108" i="1"/>
  <c r="C108" i="1"/>
  <c r="D108" i="1"/>
  <c r="E108" i="1"/>
  <c r="A111" i="1"/>
  <c r="B111" i="1"/>
  <c r="C111" i="1"/>
  <c r="D111" i="1"/>
  <c r="E111" i="1"/>
  <c r="A114" i="1"/>
  <c r="B114" i="1"/>
  <c r="C114" i="1"/>
  <c r="D114" i="1"/>
  <c r="E114" i="1"/>
  <c r="M104" i="5"/>
  <c r="M105" i="5"/>
  <c r="M106" i="5"/>
  <c r="M107" i="5"/>
  <c r="M108" i="5"/>
  <c r="M109" i="5"/>
  <c r="M110" i="5"/>
  <c r="M111" i="5"/>
  <c r="M112" i="5"/>
  <c r="M113" i="5"/>
  <c r="M114" i="5"/>
  <c r="R114" i="1" l="1"/>
  <c r="S114" i="1" s="1"/>
  <c r="L108" i="1"/>
  <c r="L114" i="1"/>
  <c r="L106" i="1"/>
  <c r="L113" i="1"/>
  <c r="R113" i="1"/>
  <c r="S113" i="1" s="1"/>
  <c r="L112" i="1"/>
  <c r="L105" i="1"/>
  <c r="R105" i="1"/>
  <c r="S105" i="1" s="1"/>
  <c r="L115" i="1"/>
  <c r="R115" i="1"/>
  <c r="S115" i="1" s="1"/>
  <c r="L107" i="1"/>
  <c r="R107" i="1"/>
  <c r="S107" i="1" s="1"/>
  <c r="L109" i="1"/>
  <c r="R109" i="1"/>
  <c r="S109" i="1" s="1"/>
  <c r="T108" i="1" s="1"/>
  <c r="L111" i="1"/>
  <c r="R111" i="1"/>
  <c r="S111" i="1" s="1"/>
  <c r="L110" i="1"/>
  <c r="M116" i="5"/>
  <c r="M115" i="5"/>
  <c r="M102" i="5"/>
  <c r="T111" i="1" l="1"/>
  <c r="T114" i="1"/>
  <c r="T105" i="1"/>
  <c r="E35" i="1"/>
  <c r="X16" i="1" l="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16" i="1"/>
  <c r="X117" i="1"/>
  <c r="X15" i="1"/>
  <c r="F36" i="1"/>
  <c r="G36" i="1"/>
  <c r="H36" i="1"/>
  <c r="I36" i="1"/>
  <c r="R36" i="1" s="1"/>
  <c r="S36" i="1" s="1"/>
  <c r="J36" i="1"/>
  <c r="F37" i="1"/>
  <c r="G37" i="1"/>
  <c r="H37" i="1"/>
  <c r="I37" i="1"/>
  <c r="J37" i="1"/>
  <c r="G38" i="1"/>
  <c r="H38" i="1"/>
  <c r="I38" i="1"/>
  <c r="J38" i="1"/>
  <c r="M34" i="5"/>
  <c r="M35" i="5"/>
  <c r="Y15" i="1" l="1"/>
  <c r="Z15" i="1" s="1"/>
  <c r="Y27" i="1"/>
  <c r="Z27" i="1" s="1"/>
  <c r="Y30" i="1"/>
  <c r="Z30" i="1" s="1"/>
  <c r="Y95" i="1"/>
  <c r="Y32" i="1"/>
  <c r="L36" i="1"/>
  <c r="Y35" i="1"/>
  <c r="Z35" i="1" s="1"/>
  <c r="Y40" i="1"/>
  <c r="Z40" i="1" s="1"/>
  <c r="Y43" i="1"/>
  <c r="Z43" i="1" s="1"/>
  <c r="Y44" i="1"/>
  <c r="Z44" i="1" s="1"/>
  <c r="Y42" i="1"/>
  <c r="Z42" i="1" s="1"/>
  <c r="Y41" i="1"/>
  <c r="Z41" i="1" s="1"/>
  <c r="Y39" i="1"/>
  <c r="Z39" i="1" s="1"/>
  <c r="AA27" i="1" l="1"/>
  <c r="Z32" i="1"/>
  <c r="AA32" i="1" s="1"/>
  <c r="AA42" i="1"/>
  <c r="Y88" i="1"/>
  <c r="Z88" i="1" s="1"/>
  <c r="AA39" i="1"/>
  <c r="Q8" i="1" l="1"/>
  <c r="L10" i="1"/>
  <c r="G121" i="1" s="1"/>
  <c r="F95" i="1"/>
  <c r="G95" i="1"/>
  <c r="H95" i="1"/>
  <c r="I95" i="1"/>
  <c r="J95" i="1"/>
  <c r="F96" i="1"/>
  <c r="G96" i="1"/>
  <c r="H96" i="1"/>
  <c r="I96" i="1"/>
  <c r="J96" i="1"/>
  <c r="F97" i="1"/>
  <c r="G97" i="1"/>
  <c r="H97" i="1"/>
  <c r="I97" i="1"/>
  <c r="J97" i="1"/>
  <c r="F98" i="1"/>
  <c r="G98" i="1"/>
  <c r="H98" i="1"/>
  <c r="I98" i="1"/>
  <c r="J98" i="1"/>
  <c r="F99" i="1"/>
  <c r="G99" i="1"/>
  <c r="H99" i="1"/>
  <c r="I99" i="1"/>
  <c r="J99" i="1"/>
  <c r="F100" i="1"/>
  <c r="G100" i="1"/>
  <c r="H100" i="1"/>
  <c r="I100" i="1"/>
  <c r="J100" i="1"/>
  <c r="F101" i="1"/>
  <c r="G101" i="1"/>
  <c r="H101" i="1"/>
  <c r="I101" i="1"/>
  <c r="J101" i="1"/>
  <c r="F102" i="1"/>
  <c r="G102" i="1"/>
  <c r="H102" i="1"/>
  <c r="I102" i="1"/>
  <c r="J102" i="1"/>
  <c r="F103" i="1"/>
  <c r="G103" i="1"/>
  <c r="H103" i="1"/>
  <c r="I103" i="1"/>
  <c r="J103" i="1"/>
  <c r="F104" i="1"/>
  <c r="G104" i="1"/>
  <c r="H104" i="1"/>
  <c r="I104" i="1"/>
  <c r="R104" i="1" s="1"/>
  <c r="S104" i="1" s="1"/>
  <c r="J104" i="1"/>
  <c r="F116" i="1"/>
  <c r="G116" i="1"/>
  <c r="H116" i="1"/>
  <c r="I116" i="1"/>
  <c r="J116" i="1"/>
  <c r="F117" i="1"/>
  <c r="G117" i="1"/>
  <c r="H117" i="1"/>
  <c r="I117" i="1"/>
  <c r="J117" i="1"/>
  <c r="A102" i="1"/>
  <c r="B102" i="1"/>
  <c r="C102" i="1"/>
  <c r="D102" i="1"/>
  <c r="E102" i="1"/>
  <c r="B116" i="1"/>
  <c r="C116" i="1"/>
  <c r="D116" i="1"/>
  <c r="E116" i="1"/>
  <c r="E91" i="1"/>
  <c r="A95" i="1"/>
  <c r="B95" i="1"/>
  <c r="C95" i="1"/>
  <c r="D95" i="1"/>
  <c r="E95" i="1"/>
  <c r="A99" i="1"/>
  <c r="B99" i="1"/>
  <c r="C99" i="1"/>
  <c r="D99" i="1"/>
  <c r="E99" i="1"/>
  <c r="M103" i="5"/>
  <c r="M101" i="5"/>
  <c r="M98" i="5"/>
  <c r="M99" i="5"/>
  <c r="M100" i="5"/>
  <c r="M95" i="5"/>
  <c r="M96" i="5"/>
  <c r="M97" i="5"/>
  <c r="M94" i="5"/>
  <c r="Y102" i="1" l="1"/>
  <c r="Y116" i="1"/>
  <c r="Y99" i="1"/>
  <c r="L104" i="1"/>
  <c r="L100" i="1"/>
  <c r="L96" i="1"/>
  <c r="L103" i="1"/>
  <c r="L99" i="1"/>
  <c r="L95" i="1"/>
  <c r="L117" i="1"/>
  <c r="L102" i="1"/>
  <c r="L98" i="1"/>
  <c r="L116" i="1"/>
  <c r="L101" i="1"/>
  <c r="L97" i="1"/>
  <c r="R117" i="1"/>
  <c r="R116" i="1"/>
  <c r="S116" i="1" s="1"/>
  <c r="R103" i="1"/>
  <c r="S103" i="1" s="1"/>
  <c r="R102" i="1"/>
  <c r="S102" i="1" s="1"/>
  <c r="R101" i="1"/>
  <c r="S101" i="1" s="1"/>
  <c r="R100" i="1"/>
  <c r="S100" i="1" s="1"/>
  <c r="R99" i="1"/>
  <c r="S99" i="1" s="1"/>
  <c r="R98" i="1"/>
  <c r="S98" i="1" s="1"/>
  <c r="R97" i="1"/>
  <c r="S97" i="1" s="1"/>
  <c r="R96" i="1"/>
  <c r="S96" i="1" s="1"/>
  <c r="R95" i="1"/>
  <c r="S95" i="1" s="1"/>
  <c r="S117" i="1" l="1"/>
  <c r="Z95" i="1"/>
  <c r="AA95" i="1" s="1"/>
  <c r="AE95" i="1" s="1"/>
  <c r="Z116" i="1"/>
  <c r="AA116" i="1" s="1"/>
  <c r="AE116" i="1" s="1"/>
  <c r="Z99" i="1"/>
  <c r="AA99" i="1" s="1"/>
  <c r="AE99" i="1" s="1"/>
  <c r="Z102" i="1"/>
  <c r="AA102" i="1" s="1"/>
  <c r="AE102" i="1" s="1"/>
  <c r="T99" i="1"/>
  <c r="T95" i="1"/>
  <c r="T102" i="1"/>
  <c r="T116" i="1"/>
  <c r="S74" i="5" l="1"/>
  <c r="S75" i="5"/>
  <c r="S76" i="5"/>
  <c r="S77" i="5"/>
  <c r="S78" i="5"/>
  <c r="S79" i="5"/>
  <c r="S80" i="5"/>
  <c r="S81" i="5"/>
  <c r="S82" i="5"/>
  <c r="S83" i="5"/>
  <c r="S84" i="5"/>
  <c r="S85" i="5"/>
  <c r="S86" i="5"/>
  <c r="S87" i="5"/>
  <c r="S89" i="5"/>
  <c r="S90" i="5"/>
  <c r="S91" i="5"/>
  <c r="S92" i="5"/>
  <c r="S93"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15" i="5"/>
  <c r="S16" i="5"/>
  <c r="S17" i="5"/>
  <c r="S18" i="5"/>
  <c r="S19" i="5"/>
  <c r="S20" i="5"/>
  <c r="S21" i="5"/>
  <c r="S22" i="5"/>
  <c r="S23" i="5"/>
  <c r="S24" i="5"/>
  <c r="S25" i="5"/>
  <c r="S26" i="5"/>
  <c r="S27" i="5"/>
  <c r="S28" i="5"/>
  <c r="S29" i="5"/>
  <c r="S30" i="5"/>
  <c r="S31" i="5"/>
  <c r="S32" i="5"/>
  <c r="S33" i="5"/>
  <c r="S34" i="5"/>
  <c r="S36" i="5"/>
  <c r="S37" i="5"/>
  <c r="S38" i="5"/>
  <c r="S39" i="5"/>
  <c r="S40" i="5"/>
  <c r="S41" i="5"/>
  <c r="S42" i="5"/>
  <c r="S14" i="5"/>
  <c r="M14" i="5"/>
  <c r="W10" i="1"/>
  <c r="Y21" i="1"/>
  <c r="Z21" i="1" s="1"/>
  <c r="AA21" i="1" s="1"/>
  <c r="Y23" i="1"/>
  <c r="Z23" i="1" s="1"/>
  <c r="Y26" i="1"/>
  <c r="Z26" i="1" s="1"/>
  <c r="Y91" i="1"/>
  <c r="Z91" i="1" s="1"/>
  <c r="AA88" i="1" s="1"/>
  <c r="I24" i="1"/>
  <c r="R24" i="1" s="1"/>
  <c r="S24" i="1" s="1"/>
  <c r="U95" i="1" l="1"/>
  <c r="U114" i="1"/>
  <c r="U111" i="1"/>
  <c r="V111" i="1"/>
  <c r="V108" i="1"/>
  <c r="U105" i="1"/>
  <c r="U108" i="1"/>
  <c r="V114" i="1"/>
  <c r="V105" i="1"/>
  <c r="Y24" i="1"/>
  <c r="Z24" i="1" s="1"/>
  <c r="U99" i="1"/>
  <c r="U102" i="1"/>
  <c r="U116" i="1"/>
  <c r="V99" i="1"/>
  <c r="V102" i="1"/>
  <c r="V95" i="1"/>
  <c r="V116" i="1"/>
  <c r="Y84" i="1"/>
  <c r="Y60" i="1"/>
  <c r="Z60" i="1" s="1"/>
  <c r="AA60" i="1" s="1"/>
  <c r="Y72" i="1"/>
  <c r="Y66" i="1"/>
  <c r="Z66" i="1" s="1"/>
  <c r="AA66" i="1" s="1"/>
  <c r="Y54" i="1"/>
  <c r="Z54" i="1" s="1"/>
  <c r="AA54" i="1" s="1"/>
  <c r="AE42" i="1"/>
  <c r="AE88" i="1"/>
  <c r="Y75" i="1"/>
  <c r="Z75" i="1" s="1"/>
  <c r="Y63" i="1"/>
  <c r="Z63" i="1" s="1"/>
  <c r="AA63" i="1" s="1"/>
  <c r="Y69" i="1"/>
  <c r="Z69" i="1" s="1"/>
  <c r="AA69" i="1" s="1"/>
  <c r="Y57" i="1"/>
  <c r="Z57" i="1" s="1"/>
  <c r="AA57" i="1" s="1"/>
  <c r="Y51" i="1"/>
  <c r="Z51" i="1" s="1"/>
  <c r="AA51" i="1" s="1"/>
  <c r="Y45" i="1"/>
  <c r="Z45" i="1" s="1"/>
  <c r="AA45" i="1" s="1"/>
  <c r="AE39" i="1"/>
  <c r="Y18" i="1"/>
  <c r="Z18" i="1" s="1"/>
  <c r="AA18" i="1" s="1"/>
  <c r="Y48" i="1"/>
  <c r="Z48" i="1" s="1"/>
  <c r="AA48" i="1" s="1"/>
  <c r="AE32" i="1"/>
  <c r="AE21" i="1"/>
  <c r="AA15" i="1"/>
  <c r="AA35" i="1" l="1"/>
  <c r="AA75" i="1"/>
  <c r="AE75" i="1" s="1"/>
  <c r="Z84" i="1"/>
  <c r="AA84" i="1" s="1"/>
  <c r="AE84" i="1" s="1"/>
  <c r="Z72" i="1"/>
  <c r="AA72" i="1" s="1"/>
  <c r="AE72" i="1" s="1"/>
  <c r="AE27" i="1"/>
  <c r="AE48" i="1"/>
  <c r="AE51" i="1"/>
  <c r="AE66" i="1"/>
  <c r="AE57" i="1"/>
  <c r="AE69" i="1"/>
  <c r="AE45" i="1"/>
  <c r="AE63" i="1"/>
  <c r="AE54" i="1"/>
  <c r="AE60" i="1"/>
  <c r="AA23" i="1"/>
  <c r="AE23" i="1" s="1"/>
  <c r="AE18" i="1"/>
  <c r="AE15" i="1"/>
  <c r="F72" i="1"/>
  <c r="F69" i="1"/>
  <c r="F16" i="1"/>
  <c r="G16" i="1"/>
  <c r="H16" i="1"/>
  <c r="I16" i="1"/>
  <c r="J16" i="1"/>
  <c r="F17" i="1"/>
  <c r="G17" i="1"/>
  <c r="H17" i="1"/>
  <c r="I17" i="1"/>
  <c r="R17" i="1" s="1"/>
  <c r="S17" i="1" s="1"/>
  <c r="J17" i="1"/>
  <c r="A18" i="1"/>
  <c r="B18" i="1"/>
  <c r="C18" i="1"/>
  <c r="D18" i="1"/>
  <c r="E18" i="1"/>
  <c r="F18" i="1"/>
  <c r="G18" i="1"/>
  <c r="H18" i="1"/>
  <c r="I18" i="1"/>
  <c r="R18" i="1" s="1"/>
  <c r="S18" i="1" s="1"/>
  <c r="J18" i="1"/>
  <c r="F19" i="1"/>
  <c r="G19" i="1"/>
  <c r="H19" i="1"/>
  <c r="I19" i="1"/>
  <c r="J19" i="1"/>
  <c r="F20" i="1"/>
  <c r="G20" i="1"/>
  <c r="H20" i="1"/>
  <c r="I20" i="1"/>
  <c r="R20" i="1" s="1"/>
  <c r="S20" i="1" s="1"/>
  <c r="J20" i="1"/>
  <c r="A21" i="1"/>
  <c r="B21" i="1"/>
  <c r="C21" i="1"/>
  <c r="D21" i="1"/>
  <c r="E21" i="1"/>
  <c r="F21" i="1"/>
  <c r="G21" i="1"/>
  <c r="H21" i="1"/>
  <c r="I21" i="1"/>
  <c r="R21" i="1" s="1"/>
  <c r="S21" i="1" s="1"/>
  <c r="J21" i="1"/>
  <c r="F22" i="1"/>
  <c r="G22" i="1"/>
  <c r="H22" i="1"/>
  <c r="I22" i="1"/>
  <c r="J22" i="1"/>
  <c r="A23" i="1"/>
  <c r="B23" i="1"/>
  <c r="C23" i="1"/>
  <c r="D23" i="1"/>
  <c r="E23" i="1"/>
  <c r="G23" i="1"/>
  <c r="H23" i="1"/>
  <c r="I23" i="1"/>
  <c r="J23" i="1"/>
  <c r="E24" i="1"/>
  <c r="F24" i="1"/>
  <c r="H24" i="1"/>
  <c r="J24" i="1"/>
  <c r="L24" i="1" s="1"/>
  <c r="F25" i="1"/>
  <c r="G25" i="1"/>
  <c r="H25" i="1"/>
  <c r="I25" i="1"/>
  <c r="R25" i="1" s="1"/>
  <c r="S25" i="1" s="1"/>
  <c r="T24" i="1" s="1"/>
  <c r="U24" i="1" s="1"/>
  <c r="J25" i="1"/>
  <c r="E26" i="1"/>
  <c r="F26" i="1"/>
  <c r="G26" i="1"/>
  <c r="H26" i="1"/>
  <c r="I26" i="1"/>
  <c r="J26" i="1"/>
  <c r="A27" i="1"/>
  <c r="B27" i="1"/>
  <c r="C27" i="1"/>
  <c r="D27" i="1"/>
  <c r="E27" i="1"/>
  <c r="F27" i="1"/>
  <c r="G27" i="1"/>
  <c r="H27" i="1"/>
  <c r="I27" i="1"/>
  <c r="R27" i="1" s="1"/>
  <c r="S27" i="1" s="1"/>
  <c r="J27" i="1"/>
  <c r="F28" i="1"/>
  <c r="G28" i="1"/>
  <c r="H28" i="1"/>
  <c r="I28" i="1"/>
  <c r="J28" i="1"/>
  <c r="F29" i="1"/>
  <c r="G29" i="1"/>
  <c r="H29" i="1"/>
  <c r="I29" i="1"/>
  <c r="R29" i="1" s="1"/>
  <c r="S29" i="1" s="1"/>
  <c r="J29" i="1"/>
  <c r="E30" i="1"/>
  <c r="F30" i="1"/>
  <c r="G30" i="1"/>
  <c r="H30" i="1"/>
  <c r="I30" i="1"/>
  <c r="J30" i="1"/>
  <c r="F31" i="1"/>
  <c r="G31" i="1"/>
  <c r="H31" i="1"/>
  <c r="I31" i="1"/>
  <c r="J31" i="1"/>
  <c r="A32" i="1"/>
  <c r="B32" i="1"/>
  <c r="C32" i="1"/>
  <c r="D32" i="1"/>
  <c r="E32" i="1"/>
  <c r="F32" i="1"/>
  <c r="G32" i="1"/>
  <c r="H32" i="1"/>
  <c r="I32" i="1"/>
  <c r="J32" i="1"/>
  <c r="F33" i="1"/>
  <c r="G33" i="1"/>
  <c r="H33" i="1"/>
  <c r="I33" i="1"/>
  <c r="J33" i="1"/>
  <c r="F34" i="1"/>
  <c r="G34" i="1"/>
  <c r="H34" i="1"/>
  <c r="I34" i="1"/>
  <c r="J34" i="1"/>
  <c r="A35" i="1"/>
  <c r="B35" i="1"/>
  <c r="C35" i="1"/>
  <c r="D35" i="1"/>
  <c r="F35" i="1"/>
  <c r="G35" i="1"/>
  <c r="H35" i="1"/>
  <c r="I35" i="1"/>
  <c r="J35" i="1"/>
  <c r="R38" i="1"/>
  <c r="S38" i="1" s="1"/>
  <c r="A39" i="1"/>
  <c r="B39" i="1"/>
  <c r="C39" i="1"/>
  <c r="D39" i="1"/>
  <c r="F39" i="1"/>
  <c r="G39" i="1"/>
  <c r="H39" i="1"/>
  <c r="I39" i="1"/>
  <c r="J39" i="1"/>
  <c r="E40" i="1"/>
  <c r="F40" i="1"/>
  <c r="G40" i="1"/>
  <c r="H40" i="1"/>
  <c r="I40" i="1"/>
  <c r="R40" i="1" s="1"/>
  <c r="S40" i="1" s="1"/>
  <c r="T40" i="1" s="1"/>
  <c r="U40" i="1" s="1"/>
  <c r="J40" i="1"/>
  <c r="E41" i="1"/>
  <c r="F41" i="1"/>
  <c r="G41" i="1"/>
  <c r="H41" i="1"/>
  <c r="I41" i="1"/>
  <c r="J41" i="1"/>
  <c r="A42" i="1"/>
  <c r="B42" i="1"/>
  <c r="C42" i="1"/>
  <c r="D42" i="1"/>
  <c r="E42" i="1"/>
  <c r="F42" i="1"/>
  <c r="G42" i="1"/>
  <c r="H42" i="1"/>
  <c r="I42" i="1"/>
  <c r="J42" i="1"/>
  <c r="E43" i="1"/>
  <c r="F43" i="1"/>
  <c r="G43" i="1"/>
  <c r="H43" i="1"/>
  <c r="I43" i="1"/>
  <c r="R43" i="1" s="1"/>
  <c r="S43" i="1" s="1"/>
  <c r="T43" i="1" s="1"/>
  <c r="U43" i="1" s="1"/>
  <c r="J43" i="1"/>
  <c r="E44" i="1"/>
  <c r="F44" i="1"/>
  <c r="G44" i="1"/>
  <c r="H44" i="1"/>
  <c r="I44" i="1"/>
  <c r="J44" i="1"/>
  <c r="A45" i="1"/>
  <c r="B45" i="1"/>
  <c r="C45" i="1"/>
  <c r="D45" i="1"/>
  <c r="E45" i="1"/>
  <c r="F45" i="1"/>
  <c r="G45" i="1"/>
  <c r="H45" i="1"/>
  <c r="I45" i="1"/>
  <c r="R45" i="1" s="1"/>
  <c r="S45" i="1" s="1"/>
  <c r="J45" i="1"/>
  <c r="F46" i="1"/>
  <c r="G46" i="1"/>
  <c r="H46" i="1"/>
  <c r="I46" i="1"/>
  <c r="J46" i="1"/>
  <c r="F47" i="1"/>
  <c r="G47" i="1"/>
  <c r="H47" i="1"/>
  <c r="I47" i="1"/>
  <c r="R47" i="1" s="1"/>
  <c r="S47" i="1" s="1"/>
  <c r="J47" i="1"/>
  <c r="A48" i="1"/>
  <c r="B48" i="1"/>
  <c r="C48" i="1"/>
  <c r="D48" i="1"/>
  <c r="E48" i="1"/>
  <c r="F48" i="1"/>
  <c r="G48" i="1"/>
  <c r="H48" i="1"/>
  <c r="I48" i="1"/>
  <c r="J48" i="1"/>
  <c r="F49" i="1"/>
  <c r="G49" i="1"/>
  <c r="H49" i="1"/>
  <c r="I49" i="1"/>
  <c r="R49" i="1" s="1"/>
  <c r="S49" i="1" s="1"/>
  <c r="J49" i="1"/>
  <c r="F50" i="1"/>
  <c r="G50" i="1"/>
  <c r="H50" i="1"/>
  <c r="I50" i="1"/>
  <c r="R50" i="1" s="1"/>
  <c r="S50" i="1" s="1"/>
  <c r="J50" i="1"/>
  <c r="A51" i="1"/>
  <c r="B51" i="1"/>
  <c r="C51" i="1"/>
  <c r="D51" i="1"/>
  <c r="E51" i="1"/>
  <c r="F51" i="1"/>
  <c r="G51" i="1"/>
  <c r="H51" i="1"/>
  <c r="I51" i="1"/>
  <c r="R51" i="1" s="1"/>
  <c r="S51" i="1" s="1"/>
  <c r="J51" i="1"/>
  <c r="F52" i="1"/>
  <c r="G52" i="1"/>
  <c r="H52" i="1"/>
  <c r="I52" i="1"/>
  <c r="J52" i="1"/>
  <c r="F53" i="1"/>
  <c r="G53" i="1"/>
  <c r="H53" i="1"/>
  <c r="I53" i="1"/>
  <c r="J53" i="1"/>
  <c r="A54" i="1"/>
  <c r="B54" i="1"/>
  <c r="C54" i="1"/>
  <c r="D54" i="1"/>
  <c r="E54" i="1"/>
  <c r="F54" i="1"/>
  <c r="G54" i="1"/>
  <c r="H54" i="1"/>
  <c r="I54" i="1"/>
  <c r="R54" i="1" s="1"/>
  <c r="S54" i="1" s="1"/>
  <c r="J54" i="1"/>
  <c r="F55" i="1"/>
  <c r="G55" i="1"/>
  <c r="H55" i="1"/>
  <c r="I55" i="1"/>
  <c r="J55" i="1"/>
  <c r="F56" i="1"/>
  <c r="G56" i="1"/>
  <c r="H56" i="1"/>
  <c r="I56" i="1"/>
  <c r="J56" i="1"/>
  <c r="A57" i="1"/>
  <c r="B57" i="1"/>
  <c r="C57" i="1"/>
  <c r="D57" i="1"/>
  <c r="E57" i="1"/>
  <c r="F57" i="1"/>
  <c r="G57" i="1"/>
  <c r="H57" i="1"/>
  <c r="I57" i="1"/>
  <c r="R57" i="1" s="1"/>
  <c r="S57" i="1" s="1"/>
  <c r="J57" i="1"/>
  <c r="F58" i="1"/>
  <c r="G58" i="1"/>
  <c r="H58" i="1"/>
  <c r="I58" i="1"/>
  <c r="R58" i="1" s="1"/>
  <c r="S58" i="1" s="1"/>
  <c r="J58" i="1"/>
  <c r="F59" i="1"/>
  <c r="G59" i="1"/>
  <c r="H59" i="1"/>
  <c r="I59" i="1"/>
  <c r="R59" i="1" s="1"/>
  <c r="S59" i="1" s="1"/>
  <c r="J59" i="1"/>
  <c r="A60" i="1"/>
  <c r="B60" i="1"/>
  <c r="C60" i="1"/>
  <c r="D60" i="1"/>
  <c r="E60" i="1"/>
  <c r="F60" i="1"/>
  <c r="G60" i="1"/>
  <c r="H60" i="1"/>
  <c r="I60" i="1"/>
  <c r="J60" i="1"/>
  <c r="F61" i="1"/>
  <c r="G61" i="1"/>
  <c r="H61" i="1"/>
  <c r="I61" i="1"/>
  <c r="J61" i="1"/>
  <c r="F62" i="1"/>
  <c r="G62" i="1"/>
  <c r="H62" i="1"/>
  <c r="I62" i="1"/>
  <c r="R62" i="1" s="1"/>
  <c r="S62" i="1" s="1"/>
  <c r="J62" i="1"/>
  <c r="A63" i="1"/>
  <c r="B63" i="1"/>
  <c r="C63" i="1"/>
  <c r="D63" i="1"/>
  <c r="E63" i="1"/>
  <c r="F63" i="1"/>
  <c r="G63" i="1"/>
  <c r="H63" i="1"/>
  <c r="I63" i="1"/>
  <c r="J63" i="1"/>
  <c r="F64" i="1"/>
  <c r="G64" i="1"/>
  <c r="H64" i="1"/>
  <c r="I64" i="1"/>
  <c r="R64" i="1" s="1"/>
  <c r="S64" i="1" s="1"/>
  <c r="J64" i="1"/>
  <c r="F65" i="1"/>
  <c r="G65" i="1"/>
  <c r="H65" i="1"/>
  <c r="I65" i="1"/>
  <c r="J65" i="1"/>
  <c r="A66" i="1"/>
  <c r="B66" i="1"/>
  <c r="C66" i="1"/>
  <c r="D66" i="1"/>
  <c r="E66" i="1"/>
  <c r="F66" i="1"/>
  <c r="G66" i="1"/>
  <c r="H66" i="1"/>
  <c r="I66" i="1"/>
  <c r="R66" i="1" s="1"/>
  <c r="S66" i="1" s="1"/>
  <c r="J66" i="1"/>
  <c r="F67" i="1"/>
  <c r="G67" i="1"/>
  <c r="H67" i="1"/>
  <c r="I67" i="1"/>
  <c r="J67" i="1"/>
  <c r="F68" i="1"/>
  <c r="G68" i="1"/>
  <c r="H68" i="1"/>
  <c r="I68" i="1"/>
  <c r="J68" i="1"/>
  <c r="A69" i="1"/>
  <c r="B69" i="1"/>
  <c r="C69" i="1"/>
  <c r="D69" i="1"/>
  <c r="E69" i="1"/>
  <c r="G69" i="1"/>
  <c r="H69" i="1"/>
  <c r="I69" i="1"/>
  <c r="R69" i="1" s="1"/>
  <c r="S69" i="1" s="1"/>
  <c r="J69" i="1"/>
  <c r="F70" i="1"/>
  <c r="G70" i="1"/>
  <c r="H70" i="1"/>
  <c r="I70" i="1"/>
  <c r="R70" i="1" s="1"/>
  <c r="S70" i="1" s="1"/>
  <c r="J70" i="1"/>
  <c r="F71" i="1"/>
  <c r="G71" i="1"/>
  <c r="H71" i="1"/>
  <c r="I71" i="1"/>
  <c r="R71" i="1" s="1"/>
  <c r="S71" i="1" s="1"/>
  <c r="J71" i="1"/>
  <c r="A72" i="1"/>
  <c r="B72" i="1"/>
  <c r="C72" i="1"/>
  <c r="D72" i="1"/>
  <c r="E72" i="1"/>
  <c r="G72" i="1"/>
  <c r="H72" i="1"/>
  <c r="I72" i="1"/>
  <c r="R72" i="1" s="1"/>
  <c r="S72" i="1" s="1"/>
  <c r="J72" i="1"/>
  <c r="F73" i="1"/>
  <c r="G73" i="1"/>
  <c r="H73" i="1"/>
  <c r="I73" i="1"/>
  <c r="R73" i="1" s="1"/>
  <c r="S73" i="1" s="1"/>
  <c r="J73" i="1"/>
  <c r="F74" i="1"/>
  <c r="G74" i="1"/>
  <c r="H74" i="1"/>
  <c r="I74" i="1"/>
  <c r="R74" i="1" s="1"/>
  <c r="S74" i="1" s="1"/>
  <c r="J74" i="1"/>
  <c r="A75" i="1"/>
  <c r="B75" i="1"/>
  <c r="C75" i="1"/>
  <c r="D75" i="1"/>
  <c r="E75" i="1"/>
  <c r="F75" i="1"/>
  <c r="G75" i="1"/>
  <c r="H75" i="1"/>
  <c r="I75" i="1"/>
  <c r="J75" i="1"/>
  <c r="G76" i="1"/>
  <c r="H76" i="1"/>
  <c r="I76" i="1"/>
  <c r="R76" i="1" s="1"/>
  <c r="S76" i="1" s="1"/>
  <c r="J76" i="1"/>
  <c r="F77" i="1"/>
  <c r="G77" i="1"/>
  <c r="H77" i="1"/>
  <c r="I77" i="1"/>
  <c r="R77" i="1" s="1"/>
  <c r="S77" i="1" s="1"/>
  <c r="J77" i="1"/>
  <c r="F78" i="1"/>
  <c r="G78" i="1"/>
  <c r="H78" i="1"/>
  <c r="I78" i="1"/>
  <c r="R78" i="1" s="1"/>
  <c r="S78" i="1" s="1"/>
  <c r="J78" i="1"/>
  <c r="F79" i="1"/>
  <c r="G79" i="1"/>
  <c r="H79" i="1"/>
  <c r="I79" i="1"/>
  <c r="J79" i="1"/>
  <c r="F80" i="1"/>
  <c r="G80" i="1"/>
  <c r="H80" i="1"/>
  <c r="I80" i="1"/>
  <c r="R80" i="1" s="1"/>
  <c r="S80" i="1" s="1"/>
  <c r="J80" i="1"/>
  <c r="F81" i="1"/>
  <c r="G81" i="1"/>
  <c r="H81" i="1"/>
  <c r="I81" i="1"/>
  <c r="J81" i="1"/>
  <c r="F82" i="1"/>
  <c r="G82" i="1"/>
  <c r="H82" i="1"/>
  <c r="I82" i="1"/>
  <c r="R82" i="1" s="1"/>
  <c r="S82" i="1" s="1"/>
  <c r="J82" i="1"/>
  <c r="F83" i="1"/>
  <c r="G83" i="1"/>
  <c r="H83" i="1"/>
  <c r="I83" i="1"/>
  <c r="R83" i="1" s="1"/>
  <c r="S83" i="1" s="1"/>
  <c r="J83" i="1"/>
  <c r="A84" i="1"/>
  <c r="B84" i="1"/>
  <c r="C84" i="1"/>
  <c r="D84" i="1"/>
  <c r="E84" i="1"/>
  <c r="F84" i="1"/>
  <c r="G84" i="1"/>
  <c r="H84" i="1"/>
  <c r="I84" i="1"/>
  <c r="R84" i="1" s="1"/>
  <c r="S84" i="1" s="1"/>
  <c r="J84" i="1"/>
  <c r="F85" i="1"/>
  <c r="G85" i="1"/>
  <c r="H85" i="1"/>
  <c r="I85" i="1"/>
  <c r="R85" i="1" s="1"/>
  <c r="S85" i="1" s="1"/>
  <c r="J85" i="1"/>
  <c r="F86" i="1"/>
  <c r="G86" i="1"/>
  <c r="H86" i="1"/>
  <c r="I86" i="1"/>
  <c r="R86" i="1" s="1"/>
  <c r="S86" i="1" s="1"/>
  <c r="J86" i="1"/>
  <c r="F87" i="1"/>
  <c r="G87" i="1"/>
  <c r="H87" i="1"/>
  <c r="I87" i="1"/>
  <c r="J87" i="1"/>
  <c r="B88" i="1"/>
  <c r="C88" i="1"/>
  <c r="D88" i="1"/>
  <c r="E88" i="1"/>
  <c r="F88" i="1"/>
  <c r="G88" i="1"/>
  <c r="H88" i="1"/>
  <c r="I88" i="1"/>
  <c r="R88" i="1" s="1"/>
  <c r="S88" i="1" s="1"/>
  <c r="J88" i="1"/>
  <c r="F89" i="1"/>
  <c r="G89" i="1"/>
  <c r="H89" i="1"/>
  <c r="I89" i="1"/>
  <c r="R89" i="1" s="1"/>
  <c r="S89" i="1" s="1"/>
  <c r="J89" i="1"/>
  <c r="F90" i="1"/>
  <c r="G90" i="1"/>
  <c r="H90" i="1"/>
  <c r="I90" i="1"/>
  <c r="J90" i="1"/>
  <c r="F91" i="1"/>
  <c r="G91" i="1"/>
  <c r="H91" i="1"/>
  <c r="I91" i="1"/>
  <c r="R91" i="1" s="1"/>
  <c r="S91" i="1" s="1"/>
  <c r="J91" i="1"/>
  <c r="F92" i="1"/>
  <c r="G92" i="1"/>
  <c r="H92" i="1"/>
  <c r="I92" i="1"/>
  <c r="R92" i="1" s="1"/>
  <c r="S92" i="1" s="1"/>
  <c r="J92" i="1"/>
  <c r="F93" i="1"/>
  <c r="G93" i="1"/>
  <c r="H93" i="1"/>
  <c r="I93" i="1"/>
  <c r="R93" i="1" s="1"/>
  <c r="S93" i="1" s="1"/>
  <c r="J93" i="1"/>
  <c r="F94" i="1"/>
  <c r="G94" i="1"/>
  <c r="H94" i="1"/>
  <c r="I94" i="1"/>
  <c r="R94" i="1" s="1"/>
  <c r="S94" i="1" s="1"/>
  <c r="J94" i="1"/>
  <c r="I15" i="1"/>
  <c r="H15" i="1"/>
  <c r="G15" i="1"/>
  <c r="F15" i="1"/>
  <c r="M88" i="5"/>
  <c r="M89" i="5"/>
  <c r="M90" i="5"/>
  <c r="M91" i="5"/>
  <c r="M92" i="5"/>
  <c r="M93"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2" i="5"/>
  <c r="M51" i="5"/>
  <c r="M50" i="5"/>
  <c r="M49" i="5"/>
  <c r="M48" i="5"/>
  <c r="M47" i="5"/>
  <c r="M46" i="5"/>
  <c r="M45" i="5"/>
  <c r="M44" i="5"/>
  <c r="M43" i="5"/>
  <c r="M42" i="5"/>
  <c r="M41" i="5"/>
  <c r="M39" i="5"/>
  <c r="M38" i="5"/>
  <c r="M37" i="5"/>
  <c r="M36" i="5"/>
  <c r="M33" i="5"/>
  <c r="M32" i="5"/>
  <c r="M31" i="5"/>
  <c r="M30" i="5"/>
  <c r="M29" i="5"/>
  <c r="M28" i="5"/>
  <c r="M27" i="5"/>
  <c r="M26" i="5"/>
  <c r="M25" i="5"/>
  <c r="M24" i="5"/>
  <c r="M23" i="5"/>
  <c r="M22" i="5"/>
  <c r="M21" i="5"/>
  <c r="M20" i="5"/>
  <c r="M19" i="5"/>
  <c r="M18" i="5"/>
  <c r="M17" i="5"/>
  <c r="M16" i="5"/>
  <c r="M15" i="5"/>
  <c r="R133" i="1" l="1"/>
  <c r="R131" i="1"/>
  <c r="R132" i="1"/>
  <c r="AE35" i="1"/>
  <c r="V122" i="1" s="1"/>
  <c r="L80" i="1"/>
  <c r="L69" i="1"/>
  <c r="L30" i="1"/>
  <c r="L81" i="1"/>
  <c r="L63" i="1"/>
  <c r="T57" i="1"/>
  <c r="U57" i="1" s="1"/>
  <c r="L48" i="1"/>
  <c r="L41" i="1"/>
  <c r="L39" i="1"/>
  <c r="L33" i="1"/>
  <c r="L85" i="1"/>
  <c r="L49" i="1"/>
  <c r="R15" i="1"/>
  <c r="L15" i="1"/>
  <c r="T69" i="1"/>
  <c r="U69" i="1" s="1"/>
  <c r="T72" i="1"/>
  <c r="U72" i="1" s="1"/>
  <c r="T91" i="1"/>
  <c r="U91" i="1" s="1"/>
  <c r="L90" i="1"/>
  <c r="L79" i="1"/>
  <c r="L75" i="1"/>
  <c r="L68" i="1"/>
  <c r="L56" i="1"/>
  <c r="L53" i="1"/>
  <c r="L44" i="1"/>
  <c r="L42" i="1"/>
  <c r="L87" i="1"/>
  <c r="L37" i="1"/>
  <c r="L88" i="1"/>
  <c r="L38" i="1"/>
  <c r="L35" i="1"/>
  <c r="R48" i="1"/>
  <c r="S48" i="1" s="1"/>
  <c r="T48" i="1" s="1"/>
  <c r="U48" i="1" s="1"/>
  <c r="R39" i="1"/>
  <c r="S39" i="1" s="1"/>
  <c r="T39" i="1" s="1"/>
  <c r="U39" i="1" s="1"/>
  <c r="L26" i="1"/>
  <c r="L22" i="1"/>
  <c r="L21" i="1"/>
  <c r="L19" i="1"/>
  <c r="L16" i="1"/>
  <c r="R75" i="1"/>
  <c r="S75" i="1" s="1"/>
  <c r="L71" i="1"/>
  <c r="L67" i="1"/>
  <c r="L61" i="1"/>
  <c r="L55" i="1"/>
  <c r="L52" i="1"/>
  <c r="L34" i="1"/>
  <c r="L31" i="1"/>
  <c r="L28" i="1"/>
  <c r="L25" i="1"/>
  <c r="R41" i="1"/>
  <c r="S41" i="1" s="1"/>
  <c r="T41" i="1" s="1"/>
  <c r="U41" i="1" s="1"/>
  <c r="R31" i="1"/>
  <c r="S31" i="1" s="1"/>
  <c r="L86" i="1"/>
  <c r="L73" i="1"/>
  <c r="L60" i="1"/>
  <c r="L57" i="1"/>
  <c r="L46" i="1"/>
  <c r="L45" i="1"/>
  <c r="L32" i="1"/>
  <c r="L29" i="1"/>
  <c r="L23" i="1"/>
  <c r="L18" i="1"/>
  <c r="R81" i="1"/>
  <c r="S81" i="1" s="1"/>
  <c r="R68" i="1"/>
  <c r="S68" i="1" s="1"/>
  <c r="R61" i="1"/>
  <c r="S61" i="1" s="1"/>
  <c r="R52" i="1"/>
  <c r="S52" i="1" s="1"/>
  <c r="R35" i="1"/>
  <c r="S35" i="1" s="1"/>
  <c r="R33" i="1"/>
  <c r="S33" i="1" s="1"/>
  <c r="R28" i="1"/>
  <c r="S28" i="1" s="1"/>
  <c r="T27" i="1" s="1"/>
  <c r="U27" i="1" s="1"/>
  <c r="R26" i="1"/>
  <c r="S26" i="1" s="1"/>
  <c r="T26" i="1" s="1"/>
  <c r="U26" i="1" s="1"/>
  <c r="R23" i="1"/>
  <c r="S23" i="1" s="1"/>
  <c r="T23" i="1" s="1"/>
  <c r="U23" i="1" s="1"/>
  <c r="R55" i="1"/>
  <c r="S55" i="1" s="1"/>
  <c r="L94" i="1"/>
  <c r="L93" i="1"/>
  <c r="L91" i="1"/>
  <c r="L65" i="1"/>
  <c r="L20" i="1"/>
  <c r="R90" i="1"/>
  <c r="S90" i="1" s="1"/>
  <c r="T88" i="1" s="1"/>
  <c r="U88" i="1" s="1"/>
  <c r="R87" i="1"/>
  <c r="S87" i="1" s="1"/>
  <c r="T84" i="1" s="1"/>
  <c r="U84" i="1" s="1"/>
  <c r="R79" i="1"/>
  <c r="S79" i="1" s="1"/>
  <c r="R65" i="1"/>
  <c r="S65" i="1" s="1"/>
  <c r="R63" i="1"/>
  <c r="S63" i="1" s="1"/>
  <c r="R56" i="1"/>
  <c r="S56" i="1" s="1"/>
  <c r="R46" i="1"/>
  <c r="S46" i="1" s="1"/>
  <c r="T45" i="1" s="1"/>
  <c r="U45" i="1" s="1"/>
  <c r="R32" i="1"/>
  <c r="S32" i="1" s="1"/>
  <c r="R30" i="1"/>
  <c r="S30" i="1" s="1"/>
  <c r="R22" i="1"/>
  <c r="S22" i="1" s="1"/>
  <c r="T21" i="1" s="1"/>
  <c r="R19" i="1"/>
  <c r="S19" i="1" s="1"/>
  <c r="T18" i="1" s="1"/>
  <c r="U18" i="1" s="1"/>
  <c r="R16" i="1"/>
  <c r="S16" i="1" s="1"/>
  <c r="L89" i="1"/>
  <c r="L77" i="1"/>
  <c r="L74" i="1"/>
  <c r="L66" i="1"/>
  <c r="L50" i="1"/>
  <c r="R67" i="1"/>
  <c r="S67" i="1" s="1"/>
  <c r="R60" i="1"/>
  <c r="S60" i="1" s="1"/>
  <c r="R53" i="1"/>
  <c r="S53" i="1" s="1"/>
  <c r="R44" i="1"/>
  <c r="S44" i="1" s="1"/>
  <c r="T44" i="1" s="1"/>
  <c r="U44" i="1" s="1"/>
  <c r="R42" i="1"/>
  <c r="S42" i="1" s="1"/>
  <c r="T42" i="1" s="1"/>
  <c r="U42" i="1" s="1"/>
  <c r="R37" i="1"/>
  <c r="S37" i="1" s="1"/>
  <c r="R34" i="1"/>
  <c r="S34" i="1" s="1"/>
  <c r="L72" i="1"/>
  <c r="L62" i="1"/>
  <c r="L54" i="1"/>
  <c r="L83" i="1"/>
  <c r="L82" i="1"/>
  <c r="L76" i="1"/>
  <c r="L64" i="1"/>
  <c r="L59" i="1"/>
  <c r="L58" i="1"/>
  <c r="L51" i="1"/>
  <c r="L47" i="1"/>
  <c r="L43" i="1"/>
  <c r="L40" i="1"/>
  <c r="L27" i="1"/>
  <c r="L17" i="1"/>
  <c r="L92" i="1"/>
  <c r="L84" i="1"/>
  <c r="L78" i="1"/>
  <c r="L70" i="1"/>
  <c r="V121" i="1" l="1"/>
  <c r="R134" i="1"/>
  <c r="V120" i="1"/>
  <c r="T136" i="1" s="1"/>
  <c r="S15" i="1"/>
  <c r="S118" i="1" s="1"/>
  <c r="R118" i="1"/>
  <c r="Q10" i="1"/>
  <c r="Q9" i="1"/>
  <c r="T35" i="1"/>
  <c r="V21" i="1"/>
  <c r="U21" i="1"/>
  <c r="T51" i="1"/>
  <c r="U51" i="1" s="1"/>
  <c r="T66" i="1"/>
  <c r="U66" i="1" s="1"/>
  <c r="T60" i="1"/>
  <c r="U60" i="1" s="1"/>
  <c r="T54" i="1"/>
  <c r="U54" i="1" s="1"/>
  <c r="T30" i="1"/>
  <c r="T63" i="1"/>
  <c r="U63" i="1" s="1"/>
  <c r="T32" i="1"/>
  <c r="T75" i="1"/>
  <c r="U75" i="1" s="1"/>
  <c r="V45" i="1"/>
  <c r="W11" i="1"/>
  <c r="V119" i="1" l="1"/>
  <c r="T15" i="1"/>
  <c r="U15" i="1" s="1"/>
  <c r="V123" i="1"/>
  <c r="U32" i="1"/>
  <c r="V32" i="1"/>
  <c r="V35" i="1"/>
  <c r="U35" i="1"/>
  <c r="U30" i="1"/>
  <c r="V88" i="1"/>
  <c r="V75" i="1"/>
  <c r="V63" i="1"/>
  <c r="V72" i="1"/>
  <c r="V57" i="1"/>
  <c r="V69" i="1"/>
  <c r="V27" i="1"/>
  <c r="V51" i="1"/>
  <c r="V54" i="1"/>
  <c r="V48" i="1"/>
  <c r="V84" i="1"/>
  <c r="V66" i="1"/>
  <c r="V23" i="1"/>
  <c r="V39" i="1"/>
  <c r="V42" i="1"/>
  <c r="V60" i="1"/>
  <c r="V18" i="1"/>
  <c r="V15" i="1" l="1"/>
  <c r="V118" i="1" s="1"/>
  <c r="L9" i="1" s="1"/>
  <c r="T118" i="1"/>
  <c r="P6" i="1" s="1"/>
  <c r="U118" i="1"/>
  <c r="L11" i="1" s="1"/>
  <c r="G122" i="1" s="1"/>
  <c r="L8" i="1"/>
  <c r="A15" i="1"/>
  <c r="B15" i="1"/>
  <c r="D15" i="1"/>
  <c r="E15" i="1"/>
  <c r="L8" i="6"/>
  <c r="P8" i="6"/>
  <c r="L10" i="6"/>
  <c r="H93" i="6" s="1"/>
  <c r="T10" i="6"/>
  <c r="P11" i="6"/>
  <c r="T11" i="6"/>
  <c r="A15" i="6"/>
  <c r="B15" i="6"/>
  <c r="C15" i="6"/>
  <c r="D15" i="6"/>
  <c r="E15" i="6"/>
  <c r="F15" i="6"/>
  <c r="G15" i="6"/>
  <c r="H15" i="6"/>
  <c r="I15" i="6"/>
  <c r="J15" i="6"/>
  <c r="A16" i="6"/>
  <c r="B16" i="6"/>
  <c r="C16" i="6"/>
  <c r="D16" i="6"/>
  <c r="E16" i="6"/>
  <c r="F16" i="6"/>
  <c r="G16" i="6"/>
  <c r="H16" i="6"/>
  <c r="I16" i="6"/>
  <c r="Q16" i="6" s="1"/>
  <c r="R16" i="6" s="1"/>
  <c r="S16" i="6" s="1"/>
  <c r="J16" i="6"/>
  <c r="A17" i="6"/>
  <c r="B17" i="6"/>
  <c r="C17" i="6"/>
  <c r="D17" i="6"/>
  <c r="E17" i="6"/>
  <c r="F17" i="6"/>
  <c r="G17" i="6"/>
  <c r="H17" i="6"/>
  <c r="I17" i="6"/>
  <c r="L17" i="6" s="1"/>
  <c r="J17" i="6"/>
  <c r="A18" i="6"/>
  <c r="B18" i="6"/>
  <c r="C18" i="6"/>
  <c r="D18" i="6"/>
  <c r="E18" i="6"/>
  <c r="F18" i="6"/>
  <c r="G18" i="6"/>
  <c r="H18" i="6"/>
  <c r="I18" i="6"/>
  <c r="L18" i="6" s="1"/>
  <c r="J18" i="6"/>
  <c r="A19" i="6"/>
  <c r="B19" i="6"/>
  <c r="C19" i="6"/>
  <c r="D19" i="6"/>
  <c r="E19" i="6"/>
  <c r="F19" i="6"/>
  <c r="G19" i="6"/>
  <c r="H19" i="6"/>
  <c r="I19" i="6"/>
  <c r="Q19" i="6" s="1"/>
  <c r="R19" i="6" s="1"/>
  <c r="S19" i="6" s="1"/>
  <c r="J19" i="6"/>
  <c r="A20" i="6"/>
  <c r="B20" i="6"/>
  <c r="C20" i="6"/>
  <c r="D20" i="6"/>
  <c r="E20" i="6"/>
  <c r="F20" i="6"/>
  <c r="G20" i="6"/>
  <c r="H20" i="6"/>
  <c r="I20" i="6"/>
  <c r="L20" i="6" s="1"/>
  <c r="J20" i="6"/>
  <c r="A21" i="6"/>
  <c r="B21" i="6"/>
  <c r="C21" i="6"/>
  <c r="D21" i="6"/>
  <c r="E21" i="6"/>
  <c r="F21" i="6"/>
  <c r="G21" i="6"/>
  <c r="H21" i="6"/>
  <c r="I21" i="6"/>
  <c r="L21" i="6" s="1"/>
  <c r="J21" i="6"/>
  <c r="G22" i="6"/>
  <c r="H22" i="6"/>
  <c r="I22" i="6"/>
  <c r="J22" i="6"/>
  <c r="G23" i="6"/>
  <c r="H23" i="6"/>
  <c r="I23" i="6"/>
  <c r="L23" i="6" s="1"/>
  <c r="J23" i="6"/>
  <c r="A24" i="6"/>
  <c r="B24" i="6"/>
  <c r="C24" i="6"/>
  <c r="D24" i="6"/>
  <c r="E24" i="6"/>
  <c r="F24" i="6"/>
  <c r="G24" i="6"/>
  <c r="H24" i="6"/>
  <c r="I24" i="6"/>
  <c r="L24" i="6" s="1"/>
  <c r="J24" i="6"/>
  <c r="G25" i="6"/>
  <c r="H25" i="6"/>
  <c r="I25" i="6"/>
  <c r="Q25" i="6" s="1"/>
  <c r="R25" i="6" s="1"/>
  <c r="J25" i="6"/>
  <c r="E26" i="6"/>
  <c r="F26" i="6"/>
  <c r="G26" i="6"/>
  <c r="H26" i="6"/>
  <c r="I26" i="6"/>
  <c r="J26" i="6"/>
  <c r="G27" i="6"/>
  <c r="H27" i="6"/>
  <c r="I27" i="6"/>
  <c r="L27" i="6" s="1"/>
  <c r="J27" i="6"/>
  <c r="G28" i="6"/>
  <c r="H28" i="6"/>
  <c r="I28" i="6"/>
  <c r="L28" i="6" s="1"/>
  <c r="J28" i="6"/>
  <c r="G29" i="6"/>
  <c r="H29" i="6"/>
  <c r="I29" i="6"/>
  <c r="Q29" i="6" s="1"/>
  <c r="R29" i="6" s="1"/>
  <c r="J29" i="6"/>
  <c r="A30" i="6"/>
  <c r="B30" i="6"/>
  <c r="C30" i="6"/>
  <c r="D30" i="6"/>
  <c r="E30" i="6"/>
  <c r="F30" i="6"/>
  <c r="G30" i="6"/>
  <c r="H30" i="6"/>
  <c r="I30" i="6"/>
  <c r="L30" i="6" s="1"/>
  <c r="J30" i="6"/>
  <c r="E31" i="6"/>
  <c r="F31" i="6"/>
  <c r="G31" i="6"/>
  <c r="H31" i="6"/>
  <c r="I31" i="6"/>
  <c r="N31" i="6" s="1"/>
  <c r="J31" i="6"/>
  <c r="F32" i="6"/>
  <c r="G32" i="6"/>
  <c r="H32" i="6"/>
  <c r="I32" i="6"/>
  <c r="L32" i="6" s="1"/>
  <c r="J32" i="6"/>
  <c r="G33" i="6"/>
  <c r="H33" i="6"/>
  <c r="I33" i="6"/>
  <c r="L33" i="6" s="1"/>
  <c r="J33" i="6"/>
  <c r="A34" i="6"/>
  <c r="B34" i="6"/>
  <c r="C34" i="6"/>
  <c r="D34" i="6"/>
  <c r="E34" i="6"/>
  <c r="F34" i="6"/>
  <c r="G34" i="6"/>
  <c r="H34" i="6"/>
  <c r="I34" i="6"/>
  <c r="J34" i="6"/>
  <c r="G35" i="6"/>
  <c r="H35" i="6"/>
  <c r="I35" i="6"/>
  <c r="J35" i="6"/>
  <c r="G36" i="6"/>
  <c r="H36" i="6"/>
  <c r="I36" i="6"/>
  <c r="L36" i="6" s="1"/>
  <c r="J36" i="6"/>
  <c r="G37" i="6"/>
  <c r="H37" i="6"/>
  <c r="I37" i="6"/>
  <c r="L37" i="6" s="1"/>
  <c r="J37" i="6"/>
  <c r="A38" i="6"/>
  <c r="B38" i="6"/>
  <c r="C38" i="6"/>
  <c r="D38" i="6"/>
  <c r="E38" i="6"/>
  <c r="F38" i="6"/>
  <c r="G38" i="6"/>
  <c r="H38" i="6"/>
  <c r="I38" i="6"/>
  <c r="Q38" i="6" s="1"/>
  <c r="R38" i="6" s="1"/>
  <c r="J38" i="6"/>
  <c r="G39" i="6"/>
  <c r="H39" i="6"/>
  <c r="I39" i="6"/>
  <c r="N39" i="6" s="1"/>
  <c r="J39" i="6"/>
  <c r="G40" i="6"/>
  <c r="H40" i="6"/>
  <c r="I40" i="6"/>
  <c r="L40" i="6" s="1"/>
  <c r="J40" i="6"/>
  <c r="F41" i="6"/>
  <c r="G41" i="6"/>
  <c r="H41" i="6"/>
  <c r="I41" i="6"/>
  <c r="L41" i="6" s="1"/>
  <c r="J41" i="6"/>
  <c r="A42" i="6"/>
  <c r="B42" i="6"/>
  <c r="C42" i="6"/>
  <c r="D42" i="6"/>
  <c r="E42" i="6"/>
  <c r="F42" i="6"/>
  <c r="G42" i="6"/>
  <c r="H42" i="6"/>
  <c r="I42" i="6"/>
  <c r="Q42" i="6" s="1"/>
  <c r="R42" i="6" s="1"/>
  <c r="S42" i="6" s="1"/>
  <c r="T42" i="6" s="1"/>
  <c r="J42" i="6"/>
  <c r="A43" i="6"/>
  <c r="B43" i="6"/>
  <c r="C43" i="6"/>
  <c r="D43" i="6"/>
  <c r="E43" i="6"/>
  <c r="F43" i="6"/>
  <c r="G43" i="6"/>
  <c r="H43" i="6"/>
  <c r="I43" i="6"/>
  <c r="N43" i="6" s="1"/>
  <c r="J43" i="6"/>
  <c r="G44" i="6"/>
  <c r="H44" i="6"/>
  <c r="I44" i="6"/>
  <c r="Q44" i="6" s="1"/>
  <c r="R44" i="6" s="1"/>
  <c r="J44" i="6"/>
  <c r="G45" i="6"/>
  <c r="H45" i="6"/>
  <c r="I45" i="6"/>
  <c r="N45" i="6" s="1"/>
  <c r="J45" i="6"/>
  <c r="A46" i="6"/>
  <c r="B46" i="6"/>
  <c r="C46" i="6"/>
  <c r="D46" i="6"/>
  <c r="E46" i="6"/>
  <c r="F46" i="6"/>
  <c r="G46" i="6"/>
  <c r="H46" i="6"/>
  <c r="I46" i="6"/>
  <c r="L46" i="6" s="1"/>
  <c r="J46" i="6"/>
  <c r="G47" i="6"/>
  <c r="H47" i="6"/>
  <c r="I47" i="6"/>
  <c r="J47" i="6"/>
  <c r="G48" i="6"/>
  <c r="H48" i="6"/>
  <c r="I48" i="6"/>
  <c r="L48" i="6" s="1"/>
  <c r="J48" i="6"/>
  <c r="G49" i="6"/>
  <c r="H49" i="6"/>
  <c r="I49" i="6"/>
  <c r="L49" i="6" s="1"/>
  <c r="J49" i="6"/>
  <c r="F50" i="6"/>
  <c r="G50" i="6"/>
  <c r="H50" i="6"/>
  <c r="I50" i="6"/>
  <c r="J50" i="6"/>
  <c r="A51" i="6"/>
  <c r="B51" i="6"/>
  <c r="C51" i="6"/>
  <c r="D51" i="6"/>
  <c r="E51" i="6"/>
  <c r="F51" i="6"/>
  <c r="G51" i="6"/>
  <c r="H51" i="6"/>
  <c r="I51" i="6"/>
  <c r="L51" i="6" s="1"/>
  <c r="J51" i="6"/>
  <c r="A52" i="6"/>
  <c r="B52" i="6"/>
  <c r="C52" i="6"/>
  <c r="D52" i="6"/>
  <c r="E52" i="6"/>
  <c r="F52" i="6"/>
  <c r="G52" i="6"/>
  <c r="H52" i="6"/>
  <c r="I52" i="6"/>
  <c r="J52" i="6"/>
  <c r="G53" i="6"/>
  <c r="H53" i="6"/>
  <c r="I53" i="6"/>
  <c r="L53" i="6" s="1"/>
  <c r="J53" i="6"/>
  <c r="G54" i="6"/>
  <c r="H54" i="6"/>
  <c r="I54" i="6"/>
  <c r="Q54" i="6" s="1"/>
  <c r="R54" i="6" s="1"/>
  <c r="J54" i="6"/>
  <c r="A55" i="6"/>
  <c r="B55" i="6"/>
  <c r="C55" i="6"/>
  <c r="D55" i="6"/>
  <c r="E55" i="6"/>
  <c r="F55" i="6"/>
  <c r="G55" i="6"/>
  <c r="H55" i="6"/>
  <c r="I55" i="6"/>
  <c r="L55" i="6" s="1"/>
  <c r="J55" i="6"/>
  <c r="E56" i="6"/>
  <c r="G56" i="6"/>
  <c r="H56" i="6"/>
  <c r="I56" i="6"/>
  <c r="Q56" i="6" s="1"/>
  <c r="R56" i="6" s="1"/>
  <c r="J56" i="6"/>
  <c r="A57" i="6"/>
  <c r="B57" i="6"/>
  <c r="C57" i="6"/>
  <c r="D57" i="6"/>
  <c r="E57" i="6"/>
  <c r="F57" i="6"/>
  <c r="G57" i="6"/>
  <c r="H57" i="6"/>
  <c r="I57" i="6"/>
  <c r="L57" i="6" s="1"/>
  <c r="J57" i="6"/>
  <c r="A58" i="6"/>
  <c r="B58" i="6"/>
  <c r="C58" i="6"/>
  <c r="D58" i="6"/>
  <c r="E58" i="6"/>
  <c r="F58" i="6"/>
  <c r="G58" i="6"/>
  <c r="H58" i="6"/>
  <c r="I58" i="6"/>
  <c r="Q58" i="6" s="1"/>
  <c r="R58" i="6" s="1"/>
  <c r="J58" i="6"/>
  <c r="G59" i="6"/>
  <c r="H59" i="6"/>
  <c r="I59" i="6"/>
  <c r="Q59" i="6" s="1"/>
  <c r="R59" i="6" s="1"/>
  <c r="J59" i="6"/>
  <c r="G60" i="6"/>
  <c r="H60" i="6"/>
  <c r="I60" i="6"/>
  <c r="J60" i="6"/>
  <c r="G61" i="6"/>
  <c r="H61" i="6"/>
  <c r="I61" i="6"/>
  <c r="J61" i="6"/>
  <c r="E62" i="6"/>
  <c r="F62" i="6"/>
  <c r="G62" i="6"/>
  <c r="H62" i="6"/>
  <c r="I62" i="6"/>
  <c r="L62" i="6" s="1"/>
  <c r="J62" i="6"/>
  <c r="A63" i="6"/>
  <c r="B63" i="6"/>
  <c r="C63" i="6"/>
  <c r="D63" i="6"/>
  <c r="E63" i="6"/>
  <c r="F63" i="6"/>
  <c r="G63" i="6"/>
  <c r="H63" i="6"/>
  <c r="I63" i="6"/>
  <c r="Q63" i="6" s="1"/>
  <c r="R63" i="6" s="1"/>
  <c r="J63" i="6"/>
  <c r="G64" i="6"/>
  <c r="H64" i="6"/>
  <c r="I64" i="6"/>
  <c r="Q64" i="6" s="1"/>
  <c r="R64" i="6" s="1"/>
  <c r="J64" i="6"/>
  <c r="G65" i="6"/>
  <c r="H65" i="6"/>
  <c r="I65" i="6"/>
  <c r="Q65" i="6" s="1"/>
  <c r="R65" i="6" s="1"/>
  <c r="J65" i="6"/>
  <c r="F66" i="6"/>
  <c r="G66" i="6"/>
  <c r="H66" i="6"/>
  <c r="I66" i="6"/>
  <c r="L66" i="6" s="1"/>
  <c r="J66" i="6"/>
  <c r="F67" i="6"/>
  <c r="G67" i="6"/>
  <c r="H67" i="6"/>
  <c r="I67" i="6"/>
  <c r="L67" i="6" s="1"/>
  <c r="J67" i="6"/>
  <c r="G68" i="6"/>
  <c r="H68" i="6"/>
  <c r="I68" i="6"/>
  <c r="Q68" i="6" s="1"/>
  <c r="R68" i="6" s="1"/>
  <c r="J68" i="6"/>
  <c r="C69" i="6"/>
  <c r="E69" i="6"/>
  <c r="F69" i="6"/>
  <c r="G69" i="6"/>
  <c r="H69" i="6"/>
  <c r="I69" i="6"/>
  <c r="Q69" i="6" s="1"/>
  <c r="R69" i="6" s="1"/>
  <c r="J69" i="6"/>
  <c r="G70" i="6"/>
  <c r="H70" i="6"/>
  <c r="I70" i="6"/>
  <c r="N70" i="6" s="1"/>
  <c r="J70" i="6"/>
  <c r="E71" i="6"/>
  <c r="G71" i="6"/>
  <c r="H71" i="6"/>
  <c r="I71" i="6"/>
  <c r="L71" i="6" s="1"/>
  <c r="J71" i="6"/>
  <c r="E72" i="6"/>
  <c r="G72" i="6"/>
  <c r="H72" i="6"/>
  <c r="I72" i="6"/>
  <c r="L72" i="6" s="1"/>
  <c r="J72" i="6"/>
  <c r="E73" i="6"/>
  <c r="G73" i="6"/>
  <c r="H73" i="6"/>
  <c r="I73" i="6"/>
  <c r="Q73" i="6" s="1"/>
  <c r="R73" i="6" s="1"/>
  <c r="J73" i="6"/>
  <c r="A74" i="6"/>
  <c r="B74" i="6"/>
  <c r="C74" i="6"/>
  <c r="D74" i="6"/>
  <c r="E74" i="6"/>
  <c r="F74" i="6"/>
  <c r="G74" i="6"/>
  <c r="H74" i="6"/>
  <c r="I74" i="6"/>
  <c r="Q74" i="6" s="1"/>
  <c r="R74" i="6" s="1"/>
  <c r="J74" i="6"/>
  <c r="G75" i="6"/>
  <c r="H75" i="6"/>
  <c r="I75" i="6"/>
  <c r="N75" i="6" s="1"/>
  <c r="J75" i="6"/>
  <c r="G76" i="6"/>
  <c r="H76" i="6"/>
  <c r="I76" i="6"/>
  <c r="Q76" i="6" s="1"/>
  <c r="R76" i="6" s="1"/>
  <c r="J76" i="6"/>
  <c r="A77" i="6"/>
  <c r="B77" i="6"/>
  <c r="C77" i="6"/>
  <c r="D77" i="6"/>
  <c r="E77" i="6"/>
  <c r="F77" i="6"/>
  <c r="G77" i="6"/>
  <c r="H77" i="6"/>
  <c r="I77" i="6"/>
  <c r="N77" i="6" s="1"/>
  <c r="J77" i="6"/>
  <c r="A78" i="6"/>
  <c r="B78" i="6"/>
  <c r="C78" i="6"/>
  <c r="D78" i="6"/>
  <c r="E78" i="6"/>
  <c r="F78" i="6"/>
  <c r="G78" i="6"/>
  <c r="H78" i="6"/>
  <c r="I78" i="6"/>
  <c r="L78" i="6" s="1"/>
  <c r="J78" i="6"/>
  <c r="A79" i="6"/>
  <c r="B79" i="6"/>
  <c r="C79" i="6"/>
  <c r="D79" i="6"/>
  <c r="E79" i="6"/>
  <c r="F79" i="6"/>
  <c r="G79" i="6"/>
  <c r="H79" i="6"/>
  <c r="I79" i="6"/>
  <c r="N79" i="6" s="1"/>
  <c r="J79" i="6"/>
  <c r="A80" i="6"/>
  <c r="B80" i="6"/>
  <c r="C80" i="6"/>
  <c r="D80" i="6"/>
  <c r="E80" i="6"/>
  <c r="F80" i="6"/>
  <c r="G80" i="6"/>
  <c r="H80" i="6"/>
  <c r="I80" i="6"/>
  <c r="Q80" i="6" s="1"/>
  <c r="R80" i="6" s="1"/>
  <c r="S80" i="6" s="1"/>
  <c r="J80" i="6"/>
  <c r="A81" i="6"/>
  <c r="B81" i="6"/>
  <c r="C81" i="6"/>
  <c r="D81" i="6"/>
  <c r="E81" i="6"/>
  <c r="F81" i="6"/>
  <c r="G81" i="6"/>
  <c r="H81" i="6"/>
  <c r="I81" i="6"/>
  <c r="Q81" i="6" s="1"/>
  <c r="R81" i="6" s="1"/>
  <c r="S81" i="6" s="1"/>
  <c r="J81" i="6"/>
  <c r="A82" i="6"/>
  <c r="B82" i="6"/>
  <c r="C82" i="6"/>
  <c r="D82" i="6"/>
  <c r="E82" i="6"/>
  <c r="F82" i="6"/>
  <c r="G82" i="6"/>
  <c r="H82" i="6"/>
  <c r="I82" i="6"/>
  <c r="Q82" i="6" s="1"/>
  <c r="R82" i="6" s="1"/>
  <c r="S82" i="6" s="1"/>
  <c r="J82" i="6"/>
  <c r="A83" i="6"/>
  <c r="B83" i="6"/>
  <c r="C83" i="6"/>
  <c r="D83" i="6"/>
  <c r="E83" i="6"/>
  <c r="F83" i="6"/>
  <c r="G83" i="6"/>
  <c r="H83" i="6"/>
  <c r="I83" i="6"/>
  <c r="L83" i="6" s="1"/>
  <c r="J83" i="6"/>
  <c r="A84" i="6"/>
  <c r="B84" i="6"/>
  <c r="C84" i="6"/>
  <c r="D84" i="6"/>
  <c r="E84" i="6"/>
  <c r="F84" i="6"/>
  <c r="G84" i="6"/>
  <c r="H84" i="6"/>
  <c r="I84" i="6"/>
  <c r="Q84" i="6" s="1"/>
  <c r="R84" i="6" s="1"/>
  <c r="S84" i="6" s="1"/>
  <c r="T84" i="6" s="1"/>
  <c r="J84" i="6"/>
  <c r="A85" i="6"/>
  <c r="B85" i="6"/>
  <c r="C85" i="6"/>
  <c r="D85" i="6"/>
  <c r="E85" i="6"/>
  <c r="F85" i="6"/>
  <c r="G85" i="6"/>
  <c r="H85" i="6"/>
  <c r="I85" i="6"/>
  <c r="N85" i="6" s="1"/>
  <c r="J85" i="6"/>
  <c r="A86" i="6"/>
  <c r="B86" i="6"/>
  <c r="C86" i="6"/>
  <c r="D86" i="6"/>
  <c r="E86" i="6"/>
  <c r="F86" i="6"/>
  <c r="G86" i="6"/>
  <c r="H86" i="6"/>
  <c r="I86" i="6"/>
  <c r="N86" i="6" s="1"/>
  <c r="J86" i="6"/>
  <c r="A87" i="6"/>
  <c r="B87" i="6"/>
  <c r="C87" i="6"/>
  <c r="D87" i="6"/>
  <c r="E87" i="6"/>
  <c r="F87" i="6"/>
  <c r="G87" i="6"/>
  <c r="H87" i="6"/>
  <c r="I87" i="6"/>
  <c r="L87" i="6" s="1"/>
  <c r="J87" i="6"/>
  <c r="A88" i="6"/>
  <c r="B88" i="6"/>
  <c r="C88" i="6"/>
  <c r="D88" i="6"/>
  <c r="E88" i="6"/>
  <c r="F88" i="6"/>
  <c r="G88" i="6"/>
  <c r="H88" i="6"/>
  <c r="I88" i="6"/>
  <c r="Q88" i="6" s="1"/>
  <c r="R88" i="6" s="1"/>
  <c r="S88" i="6" s="1"/>
  <c r="J88" i="6"/>
  <c r="A89" i="6"/>
  <c r="B89" i="6"/>
  <c r="C89" i="6"/>
  <c r="D89" i="6"/>
  <c r="E89" i="6"/>
  <c r="F89" i="6"/>
  <c r="G89" i="6"/>
  <c r="H89" i="6"/>
  <c r="I89" i="6"/>
  <c r="L89" i="6" s="1"/>
  <c r="J89" i="6"/>
  <c r="A90" i="6"/>
  <c r="B90" i="6"/>
  <c r="C90" i="6"/>
  <c r="D90" i="6"/>
  <c r="E90" i="6"/>
  <c r="F90" i="6"/>
  <c r="G90" i="6"/>
  <c r="H90" i="6"/>
  <c r="I90" i="6"/>
  <c r="L90" i="6" s="1"/>
  <c r="J90" i="6"/>
  <c r="G123" i="1" l="1"/>
  <c r="N11" i="1"/>
  <c r="N9" i="1"/>
  <c r="Q23" i="6"/>
  <c r="R23" i="6" s="1"/>
  <c r="L25" i="6"/>
  <c r="Q21" i="6"/>
  <c r="R21" i="6" s="1"/>
  <c r="M23" i="6"/>
  <c r="Q28" i="6"/>
  <c r="R28" i="6" s="1"/>
  <c r="N25" i="6"/>
  <c r="M80" i="6"/>
  <c r="Q78" i="6"/>
  <c r="R78" i="6" s="1"/>
  <c r="S78" i="6" s="1"/>
  <c r="T78" i="6" s="1"/>
  <c r="Q72" i="6"/>
  <c r="R72" i="6" s="1"/>
  <c r="N81" i="6"/>
  <c r="L86" i="6"/>
  <c r="Q83" i="6"/>
  <c r="R83" i="6" s="1"/>
  <c r="S83" i="6" s="1"/>
  <c r="U83" i="6" s="1"/>
  <c r="V83" i="6" s="1"/>
  <c r="W83" i="6" s="1"/>
  <c r="Q66" i="6"/>
  <c r="R66" i="6" s="1"/>
  <c r="S66" i="6" s="1"/>
  <c r="T66" i="6" s="1"/>
  <c r="M62" i="6"/>
  <c r="N73" i="6"/>
  <c r="N72" i="6"/>
  <c r="Q53" i="6"/>
  <c r="R53" i="6" s="1"/>
  <c r="L73" i="6"/>
  <c r="Q62" i="6"/>
  <c r="R62" i="6" s="1"/>
  <c r="S62" i="6" s="1"/>
  <c r="T62" i="6" s="1"/>
  <c r="M60" i="6"/>
  <c r="N53" i="6"/>
  <c r="M79" i="6"/>
  <c r="M73" i="6"/>
  <c r="M72" i="6"/>
  <c r="M65" i="6"/>
  <c r="N62" i="6"/>
  <c r="M53" i="6"/>
  <c r="M50" i="6"/>
  <c r="Q40" i="6"/>
  <c r="R40" i="6" s="1"/>
  <c r="M74" i="6"/>
  <c r="M66" i="6"/>
  <c r="M44" i="6"/>
  <c r="Q41" i="6"/>
  <c r="R41" i="6" s="1"/>
  <c r="S41" i="6" s="1"/>
  <c r="U41" i="6" s="1"/>
  <c r="V41" i="6" s="1"/>
  <c r="M40" i="6"/>
  <c r="Q39" i="6"/>
  <c r="R39" i="6" s="1"/>
  <c r="Q37" i="6"/>
  <c r="R37" i="6" s="1"/>
  <c r="Q32" i="6"/>
  <c r="R32" i="6" s="1"/>
  <c r="M19" i="6"/>
  <c r="Q17" i="6"/>
  <c r="R17" i="6" s="1"/>
  <c r="S17" i="6" s="1"/>
  <c r="T17" i="6" s="1"/>
  <c r="Q85" i="6"/>
  <c r="R85" i="6" s="1"/>
  <c r="S85" i="6" s="1"/>
  <c r="T85" i="6" s="1"/>
  <c r="N41" i="6"/>
  <c r="L39" i="6"/>
  <c r="N37" i="6"/>
  <c r="Q77" i="6"/>
  <c r="R77" i="6" s="1"/>
  <c r="S77" i="6" s="1"/>
  <c r="T77" i="6" s="1"/>
  <c r="M90" i="6"/>
  <c r="Q79" i="6"/>
  <c r="R79" i="6" s="1"/>
  <c r="S79" i="6" s="1"/>
  <c r="T79" i="6" s="1"/>
  <c r="N78" i="6"/>
  <c r="M77" i="6"/>
  <c r="M59" i="6"/>
  <c r="N56" i="6"/>
  <c r="M54" i="6"/>
  <c r="M41" i="6"/>
  <c r="M31" i="6"/>
  <c r="M29" i="6"/>
  <c r="M25" i="6"/>
  <c r="Q51" i="6"/>
  <c r="R51" i="6" s="1"/>
  <c r="S51" i="6" s="1"/>
  <c r="U51" i="6" s="1"/>
  <c r="V51" i="6" s="1"/>
  <c r="W51" i="6" s="1"/>
  <c r="N51" i="6"/>
  <c r="N28" i="6"/>
  <c r="N17" i="6"/>
  <c r="M89" i="6"/>
  <c r="N87" i="6"/>
  <c r="L85" i="6"/>
  <c r="N83" i="6"/>
  <c r="N82" i="6"/>
  <c r="M71" i="6"/>
  <c r="M52" i="6"/>
  <c r="M51" i="6"/>
  <c r="M42" i="6"/>
  <c r="N40" i="6"/>
  <c r="M39" i="6"/>
  <c r="M37" i="6"/>
  <c r="M36" i="6"/>
  <c r="M35" i="6"/>
  <c r="M34" i="6"/>
  <c r="Q30" i="6"/>
  <c r="R30" i="6" s="1"/>
  <c r="S30" i="6" s="1"/>
  <c r="U30" i="6" s="1"/>
  <c r="V30" i="6" s="1"/>
  <c r="N29" i="6"/>
  <c r="U16" i="6"/>
  <c r="V16" i="6" s="1"/>
  <c r="W16" i="6" s="1"/>
  <c r="Y16" i="6" s="1"/>
  <c r="Q90" i="6"/>
  <c r="R90" i="6" s="1"/>
  <c r="S90" i="6" s="1"/>
  <c r="U90" i="6" s="1"/>
  <c r="V90" i="6" s="1"/>
  <c r="W90" i="6" s="1"/>
  <c r="M85" i="6"/>
  <c r="M84" i="6"/>
  <c r="M75" i="6"/>
  <c r="N74" i="6"/>
  <c r="N69" i="6"/>
  <c r="M67" i="6"/>
  <c r="M57" i="6"/>
  <c r="Q55" i="6"/>
  <c r="R55" i="6" s="1"/>
  <c r="S55" i="6" s="1"/>
  <c r="Q31" i="6"/>
  <c r="R31" i="6" s="1"/>
  <c r="S31" i="6" s="1"/>
  <c r="U31" i="6" s="1"/>
  <c r="V31" i="6" s="1"/>
  <c r="L29" i="6"/>
  <c r="M28" i="6"/>
  <c r="L19" i="6"/>
  <c r="M17" i="6"/>
  <c r="M82" i="6"/>
  <c r="M70" i="6"/>
  <c r="M69" i="6"/>
  <c r="M61" i="6"/>
  <c r="M56" i="6"/>
  <c r="N55" i="6"/>
  <c r="N32" i="6"/>
  <c r="N30" i="6"/>
  <c r="Q27" i="6"/>
  <c r="R27" i="6" s="1"/>
  <c r="N90" i="6"/>
  <c r="Q89" i="6"/>
  <c r="R89" i="6" s="1"/>
  <c r="S89" i="6" s="1"/>
  <c r="T89" i="6" s="1"/>
  <c r="N88" i="6"/>
  <c r="M83" i="6"/>
  <c r="L82" i="6"/>
  <c r="M81" i="6"/>
  <c r="N76" i="6"/>
  <c r="L70" i="6"/>
  <c r="L69" i="6"/>
  <c r="L68" i="6"/>
  <c r="N66" i="6"/>
  <c r="L58" i="6"/>
  <c r="Q57" i="6"/>
  <c r="R57" i="6" s="1"/>
  <c r="S57" i="6" s="1"/>
  <c r="T57" i="6" s="1"/>
  <c r="L56" i="6"/>
  <c r="M55" i="6"/>
  <c r="U42" i="6"/>
  <c r="V42" i="6" s="1"/>
  <c r="W42" i="6" s="1"/>
  <c r="Y42" i="6" s="1"/>
  <c r="N27" i="6"/>
  <c r="N23" i="6"/>
  <c r="M88" i="6"/>
  <c r="L84" i="6"/>
  <c r="L77" i="6"/>
  <c r="M76" i="6"/>
  <c r="L75" i="6"/>
  <c r="M68" i="6"/>
  <c r="N67" i="6"/>
  <c r="M64" i="6"/>
  <c r="N63" i="6"/>
  <c r="N57" i="6"/>
  <c r="L42" i="6"/>
  <c r="M32" i="6"/>
  <c r="M30" i="6"/>
  <c r="M26" i="6"/>
  <c r="N19" i="6"/>
  <c r="M18" i="6"/>
  <c r="U82" i="6"/>
  <c r="V82" i="6" s="1"/>
  <c r="W82" i="6" s="1"/>
  <c r="T82" i="6"/>
  <c r="S63" i="6"/>
  <c r="T81" i="6"/>
  <c r="U81" i="6"/>
  <c r="V81" i="6" s="1"/>
  <c r="W81" i="6" s="1"/>
  <c r="T88" i="6"/>
  <c r="U88" i="6"/>
  <c r="V88" i="6" s="1"/>
  <c r="W88" i="6" s="1"/>
  <c r="T80" i="6"/>
  <c r="U80" i="6"/>
  <c r="V80" i="6" s="1"/>
  <c r="W80" i="6" s="1"/>
  <c r="L88" i="6"/>
  <c r="M86" i="6"/>
  <c r="N84" i="6"/>
  <c r="L81" i="6"/>
  <c r="L79" i="6"/>
  <c r="L76" i="6"/>
  <c r="L74" i="6"/>
  <c r="N71" i="6"/>
  <c r="Q70" i="6"/>
  <c r="R70" i="6" s="1"/>
  <c r="L64" i="6"/>
  <c r="L60" i="6"/>
  <c r="N60" i="6"/>
  <c r="N58" i="6"/>
  <c r="L50" i="6"/>
  <c r="N50" i="6"/>
  <c r="Q50" i="6"/>
  <c r="R50" i="6" s="1"/>
  <c r="S50" i="6" s="1"/>
  <c r="M38" i="6"/>
  <c r="L35" i="6"/>
  <c r="N35" i="6"/>
  <c r="Q35" i="6"/>
  <c r="R35" i="6" s="1"/>
  <c r="L34" i="6"/>
  <c r="N34" i="6"/>
  <c r="Q34" i="6"/>
  <c r="R34" i="6" s="1"/>
  <c r="N47" i="6"/>
  <c r="Q47" i="6"/>
  <c r="R47" i="6" s="1"/>
  <c r="N89" i="6"/>
  <c r="Q87" i="6"/>
  <c r="R87" i="6" s="1"/>
  <c r="S87" i="6" s="1"/>
  <c r="N80" i="6"/>
  <c r="Q67" i="6"/>
  <c r="R67" i="6" s="1"/>
  <c r="S67" i="6" s="1"/>
  <c r="M58" i="6"/>
  <c r="N54" i="6"/>
  <c r="M48" i="6"/>
  <c r="M46" i="6"/>
  <c r="N26" i="6"/>
  <c r="Q26" i="6"/>
  <c r="R26" i="6" s="1"/>
  <c r="L26" i="6"/>
  <c r="M20" i="6"/>
  <c r="Q20" i="6"/>
  <c r="R20" i="6" s="1"/>
  <c r="S20" i="6" s="1"/>
  <c r="N20" i="6"/>
  <c r="L65" i="6"/>
  <c r="N65" i="6"/>
  <c r="N48" i="6"/>
  <c r="Q48" i="6"/>
  <c r="R48" i="6" s="1"/>
  <c r="N46" i="6"/>
  <c r="Q46" i="6"/>
  <c r="R46" i="6" s="1"/>
  <c r="N33" i="6"/>
  <c r="Q33" i="6"/>
  <c r="R33" i="6" s="1"/>
  <c r="U84" i="6"/>
  <c r="V84" i="6" s="1"/>
  <c r="W84" i="6" s="1"/>
  <c r="L80" i="6"/>
  <c r="M78" i="6"/>
  <c r="L63" i="6"/>
  <c r="N59" i="6"/>
  <c r="L54" i="6"/>
  <c r="Q45" i="6"/>
  <c r="R45" i="6" s="1"/>
  <c r="Q43" i="6"/>
  <c r="R43" i="6" s="1"/>
  <c r="N42" i="6"/>
  <c r="T19" i="6"/>
  <c r="U19" i="6"/>
  <c r="V19" i="6" s="1"/>
  <c r="W19" i="6" s="1"/>
  <c r="Q15" i="6"/>
  <c r="L15" i="6"/>
  <c r="N15" i="6"/>
  <c r="M87" i="6"/>
  <c r="M63" i="6"/>
  <c r="Q61" i="6"/>
  <c r="R61" i="6" s="1"/>
  <c r="Q60" i="6"/>
  <c r="R60" i="6" s="1"/>
  <c r="L59" i="6"/>
  <c r="M49" i="6"/>
  <c r="L44" i="6"/>
  <c r="N44" i="6"/>
  <c r="N24" i="6"/>
  <c r="Q24" i="6"/>
  <c r="R24" i="6" s="1"/>
  <c r="S24" i="6" s="1"/>
  <c r="M24" i="6"/>
  <c r="T16" i="6"/>
  <c r="Q86" i="6"/>
  <c r="R86" i="6" s="1"/>
  <c r="S86" i="6" s="1"/>
  <c r="Q75" i="6"/>
  <c r="R75" i="6" s="1"/>
  <c r="S74" i="6" s="1"/>
  <c r="N61" i="6"/>
  <c r="Q49" i="6"/>
  <c r="R49" i="6" s="1"/>
  <c r="N49" i="6"/>
  <c r="M47" i="6"/>
  <c r="N38" i="6"/>
  <c r="M22" i="6"/>
  <c r="N22" i="6"/>
  <c r="Q22" i="6"/>
  <c r="R22" i="6" s="1"/>
  <c r="L22" i="6"/>
  <c r="Q71" i="6"/>
  <c r="R71" i="6" s="1"/>
  <c r="N68" i="6"/>
  <c r="N64" i="6"/>
  <c r="L61" i="6"/>
  <c r="L52" i="6"/>
  <c r="N52" i="6"/>
  <c r="Q52" i="6"/>
  <c r="R52" i="6" s="1"/>
  <c r="L47" i="6"/>
  <c r="L45" i="6"/>
  <c r="M45" i="6"/>
  <c r="L43" i="6"/>
  <c r="M43" i="6"/>
  <c r="L38" i="6"/>
  <c r="M33" i="6"/>
  <c r="M15" i="6"/>
  <c r="N16" i="6"/>
  <c r="Q36" i="6"/>
  <c r="R36" i="6" s="1"/>
  <c r="M27" i="6"/>
  <c r="N21" i="6"/>
  <c r="Q18" i="6"/>
  <c r="R18" i="6" s="1"/>
  <c r="S18" i="6" s="1"/>
  <c r="M16" i="6"/>
  <c r="N36" i="6"/>
  <c r="M21" i="6"/>
  <c r="N18" i="6"/>
  <c r="L16" i="6"/>
  <c r="L31" i="6"/>
  <c r="S21" i="6" l="1"/>
  <c r="U21" i="6" s="1"/>
  <c r="V21" i="6" s="1"/>
  <c r="W21" i="6" s="1"/>
  <c r="U78" i="6"/>
  <c r="V78" i="6" s="1"/>
  <c r="W78" i="6" s="1"/>
  <c r="T83" i="6"/>
  <c r="U17" i="6"/>
  <c r="V17" i="6" s="1"/>
  <c r="W17" i="6" s="1"/>
  <c r="Y17" i="6" s="1"/>
  <c r="T90" i="6"/>
  <c r="T51" i="6"/>
  <c r="U85" i="6"/>
  <c r="V85" i="6" s="1"/>
  <c r="W85" i="6" s="1"/>
  <c r="Y85" i="6" s="1"/>
  <c r="X16" i="6"/>
  <c r="U66" i="6"/>
  <c r="V66" i="6" s="1"/>
  <c r="U77" i="6"/>
  <c r="V77" i="6" s="1"/>
  <c r="W77" i="6" s="1"/>
  <c r="Y77" i="6" s="1"/>
  <c r="S38" i="6"/>
  <c r="U38" i="6" s="1"/>
  <c r="V38" i="6" s="1"/>
  <c r="W38" i="6" s="1"/>
  <c r="S26" i="6"/>
  <c r="T26" i="6" s="1"/>
  <c r="U79" i="6"/>
  <c r="V79" i="6" s="1"/>
  <c r="W79" i="6" s="1"/>
  <c r="Y79" i="6" s="1"/>
  <c r="T30" i="6"/>
  <c r="S32" i="6"/>
  <c r="U32" i="6" s="1"/>
  <c r="V32" i="6" s="1"/>
  <c r="W30" i="6" s="1"/>
  <c r="U62" i="6"/>
  <c r="V62" i="6" s="1"/>
  <c r="S52" i="6"/>
  <c r="T52" i="6" s="1"/>
  <c r="T41" i="6"/>
  <c r="T31" i="6"/>
  <c r="U57" i="6"/>
  <c r="V57" i="6" s="1"/>
  <c r="W57" i="6" s="1"/>
  <c r="X57" i="6" s="1"/>
  <c r="X42" i="6"/>
  <c r="S69" i="6"/>
  <c r="T69" i="6" s="1"/>
  <c r="U55" i="6"/>
  <c r="V55" i="6" s="1"/>
  <c r="W55" i="6" s="1"/>
  <c r="X55" i="6" s="1"/>
  <c r="T55" i="6"/>
  <c r="P10" i="6"/>
  <c r="S9" i="6" s="1"/>
  <c r="O7" i="6" s="1"/>
  <c r="S46" i="6"/>
  <c r="U46" i="6" s="1"/>
  <c r="V46" i="6" s="1"/>
  <c r="S58" i="6"/>
  <c r="U58" i="6" s="1"/>
  <c r="V58" i="6" s="1"/>
  <c r="S43" i="6"/>
  <c r="U43" i="6" s="1"/>
  <c r="V43" i="6" s="1"/>
  <c r="W43" i="6" s="1"/>
  <c r="S34" i="6"/>
  <c r="T34" i="6" s="1"/>
  <c r="U89" i="6"/>
  <c r="V89" i="6" s="1"/>
  <c r="W89" i="6" s="1"/>
  <c r="X89" i="6" s="1"/>
  <c r="P9" i="6"/>
  <c r="T74" i="6"/>
  <c r="U74" i="6"/>
  <c r="V74" i="6" s="1"/>
  <c r="W74" i="6" s="1"/>
  <c r="U69" i="6"/>
  <c r="V69" i="6" s="1"/>
  <c r="X82" i="6"/>
  <c r="Y82" i="6"/>
  <c r="Y19" i="6"/>
  <c r="X19" i="6"/>
  <c r="Y80" i="6"/>
  <c r="X80" i="6"/>
  <c r="X90" i="6"/>
  <c r="Y90" i="6"/>
  <c r="U18" i="6"/>
  <c r="V18" i="6" s="1"/>
  <c r="W18" i="6" s="1"/>
  <c r="T18" i="6"/>
  <c r="U63" i="6"/>
  <c r="V63" i="6" s="1"/>
  <c r="T63" i="6"/>
  <c r="R15" i="6"/>
  <c r="Q91" i="6"/>
  <c r="Q9" i="6" s="1"/>
  <c r="U24" i="6"/>
  <c r="V24" i="6" s="1"/>
  <c r="T24" i="6"/>
  <c r="T67" i="6"/>
  <c r="U67" i="6"/>
  <c r="V67" i="6" s="1"/>
  <c r="X83" i="6"/>
  <c r="Y83" i="6"/>
  <c r="Y88" i="6"/>
  <c r="X88" i="6"/>
  <c r="V9" i="1"/>
  <c r="P7" i="1" s="1"/>
  <c r="Y84" i="6"/>
  <c r="X84" i="6"/>
  <c r="T87" i="6"/>
  <c r="U87" i="6"/>
  <c r="V87" i="6" s="1"/>
  <c r="W87" i="6" s="1"/>
  <c r="X51" i="6"/>
  <c r="Y51" i="6"/>
  <c r="U86" i="6"/>
  <c r="V86" i="6" s="1"/>
  <c r="W86" i="6" s="1"/>
  <c r="T86" i="6"/>
  <c r="T50" i="6"/>
  <c r="U50" i="6"/>
  <c r="V50" i="6" s="1"/>
  <c r="X79" i="6"/>
  <c r="U34" i="6"/>
  <c r="V34" i="6" s="1"/>
  <c r="W34" i="6" s="1"/>
  <c r="X78" i="6"/>
  <c r="Y78" i="6"/>
  <c r="T20" i="6"/>
  <c r="U20" i="6"/>
  <c r="V20" i="6" s="1"/>
  <c r="W20" i="6" s="1"/>
  <c r="X81" i="6"/>
  <c r="Y81" i="6"/>
  <c r="X85" i="6" l="1"/>
  <c r="T21" i="6"/>
  <c r="X17" i="6"/>
  <c r="T43" i="6"/>
  <c r="U26" i="6"/>
  <c r="V26" i="6" s="1"/>
  <c r="W24" i="6" s="1"/>
  <c r="Y55" i="6"/>
  <c r="U52" i="6"/>
  <c r="V52" i="6" s="1"/>
  <c r="W52" i="6" s="1"/>
  <c r="Y52" i="6" s="1"/>
  <c r="T32" i="6"/>
  <c r="X77" i="6"/>
  <c r="T38" i="6"/>
  <c r="Y89" i="6"/>
  <c r="T46" i="6"/>
  <c r="T58" i="6"/>
  <c r="W58" i="6"/>
  <c r="X58" i="6" s="1"/>
  <c r="Y57" i="6"/>
  <c r="W63" i="6"/>
  <c r="Y63" i="6" s="1"/>
  <c r="S15" i="6"/>
  <c r="R91" i="6"/>
  <c r="T91" i="6" s="1"/>
  <c r="X18" i="6"/>
  <c r="Y18" i="6"/>
  <c r="X34" i="6"/>
  <c r="Y34" i="6"/>
  <c r="X43" i="6"/>
  <c r="Y43" i="6"/>
  <c r="X21" i="6"/>
  <c r="Y21" i="6"/>
  <c r="X38" i="6"/>
  <c r="Y38" i="6"/>
  <c r="Y86" i="6"/>
  <c r="X86" i="6"/>
  <c r="Y20" i="6"/>
  <c r="X20" i="6"/>
  <c r="X30" i="6"/>
  <c r="Y30" i="6"/>
  <c r="X87" i="6"/>
  <c r="Y87" i="6"/>
  <c r="X74" i="6"/>
  <c r="Y74" i="6"/>
  <c r="W46" i="6"/>
  <c r="Y58" i="6" l="1"/>
  <c r="X52" i="6"/>
  <c r="X63" i="6"/>
  <c r="X46" i="6"/>
  <c r="Y46" i="6"/>
  <c r="Y24" i="6"/>
  <c r="X24" i="6"/>
  <c r="T15" i="6"/>
  <c r="L11" i="6" s="1"/>
  <c r="H94" i="6" s="1"/>
  <c r="U15" i="6"/>
  <c r="S91" i="6"/>
  <c r="M11" i="6" s="1"/>
  <c r="H123" i="1" l="1"/>
  <c r="H122" i="1"/>
  <c r="U91" i="6"/>
  <c r="V15" i="6"/>
  <c r="J94" i="6"/>
  <c r="H95" i="6"/>
  <c r="J95" i="6" s="1"/>
  <c r="H121" i="1" l="1"/>
  <c r="W15" i="6"/>
  <c r="V91" i="6"/>
  <c r="X91" i="6" s="1"/>
  <c r="J93" i="6"/>
  <c r="Y15" i="6" l="1"/>
  <c r="Y91" i="6" s="1"/>
  <c r="O6" i="6" s="1"/>
  <c r="X15" i="6"/>
  <c r="L9" i="6" s="1"/>
  <c r="W91" i="6"/>
  <c r="M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UTP</author>
  </authors>
  <commentList>
    <comment ref="F12" authorId="0" shapeId="0" xr:uid="{00000000-0006-0000-0000-000001000000}">
      <text>
        <r>
          <rPr>
            <b/>
            <sz val="9"/>
            <color indexed="81"/>
            <rFont val="Tahoma"/>
            <family val="2"/>
          </rPr>
          <t>Es la acción (correctiva y/o preventiva) que adoptamos para subsanar o corregir la causa que genera el  hallazgo.</t>
        </r>
      </text>
    </comment>
    <comment ref="G13" authorId="0" shapeId="0" xr:uid="{00000000-0006-0000-0000-000002000000}">
      <text>
        <r>
          <rPr>
            <b/>
            <sz val="9"/>
            <color indexed="81"/>
            <rFont val="Tahoma"/>
            <family val="2"/>
          </rPr>
          <t>Pasos cuantificables que permitan medir el avance y cumplimiento de la acción de mejoramiento, es decir son las fases, etapas, actividades o tareas, mediante las cuales, se piensa llevar a cabo, ejecutar o desarrollar, la acción planteada.</t>
        </r>
      </text>
    </comment>
    <comment ref="I13" authorId="0" shapeId="0" xr:uid="{00000000-0006-0000-0000-000003000000}">
      <text>
        <r>
          <rPr>
            <b/>
            <sz val="9"/>
            <color indexed="81"/>
            <rFont val="Tahoma"/>
            <family val="2"/>
          </rPr>
          <t xml:space="preserve">Nombre de la unidad de medida que se  utiliza para medir el grado de avance de la actividad y definición de la actividad a realizar. </t>
        </r>
      </text>
    </comment>
    <comment ref="J13" authorId="0" shapeId="0" xr:uid="{00000000-0006-0000-0000-000004000000}">
      <text>
        <r>
          <rPr>
            <b/>
            <sz val="9"/>
            <color indexed="81"/>
            <rFont val="Tahoma"/>
            <family val="2"/>
          </rPr>
          <t xml:space="preserve">Volumen o tamaño de la actividad, establecido en unidades o porcentajes, deben ser números enteros. 
</t>
        </r>
      </text>
    </comment>
  </commentList>
</comments>
</file>

<file path=xl/sharedStrings.xml><?xml version="1.0" encoding="utf-8"?>
<sst xmlns="http://schemas.openxmlformats.org/spreadsheetml/2006/main" count="1435" uniqueCount="528">
  <si>
    <t>Unidad de medida</t>
  </si>
  <si>
    <t>Denominación</t>
  </si>
  <si>
    <t>Descripción</t>
  </si>
  <si>
    <t>VENCIDA</t>
  </si>
  <si>
    <t>VIGENTE</t>
  </si>
  <si>
    <t>DESCRIPCIÓN</t>
  </si>
  <si>
    <t>CÓDIGO</t>
  </si>
  <si>
    <t>HALLAZGO</t>
  </si>
  <si>
    <t>No.</t>
  </si>
  <si>
    <t>FINALIZADA</t>
  </si>
  <si>
    <t>No. De Informe de Avance:</t>
  </si>
  <si>
    <t>Fecha de corte de Informe de avance:</t>
  </si>
  <si>
    <t>Fecha Finalizacion</t>
  </si>
  <si>
    <t>ACCIÓN DE MEJORAMIENTO</t>
  </si>
  <si>
    <t>Convenciones</t>
  </si>
  <si>
    <t xml:space="preserve">Código </t>
  </si>
  <si>
    <t xml:space="preserve">Versión </t>
  </si>
  <si>
    <t xml:space="preserve">Fecha </t>
  </si>
  <si>
    <t>1 de 1</t>
  </si>
  <si>
    <t>1115 - F02</t>
  </si>
  <si>
    <t>CONTROL INTERNO</t>
  </si>
  <si>
    <t>INFORME DE REVISIÓN AVANCE DEL PLAN DE MEJORAMIENTO</t>
  </si>
  <si>
    <t>PORCENTAJE DE AVANCE DEL PLAN DE MEJORAMIENTO:</t>
  </si>
  <si>
    <t>Tomado de Plan de mejoramiento CGR</t>
  </si>
  <si>
    <t>Fecha del Comité:</t>
  </si>
  <si>
    <t>ACTIVIDADES</t>
  </si>
  <si>
    <t>ESTADO DE LA ACTIVIDAD</t>
  </si>
  <si>
    <t xml:space="preserve">Página </t>
  </si>
  <si>
    <t>Tipo de Auditoria de la CGR</t>
  </si>
  <si>
    <t>No. De Acta de Comité:</t>
  </si>
  <si>
    <t>CAUSA</t>
  </si>
  <si>
    <t>Fecha inicio</t>
  </si>
  <si>
    <t>Cantidad Unidad de Medida</t>
  </si>
  <si>
    <t>Cantidad de Semanas</t>
  </si>
  <si>
    <t>EFECTO</t>
  </si>
  <si>
    <t>ACLARACIONES SOBRE LA ACCIÓN DE MEJORA</t>
  </si>
  <si>
    <t>REVISIÓN COMITÉ DE COORDINACIÓN CONTROL INTERNO</t>
  </si>
  <si>
    <t>DESCRIPCIÓN CUALITATIVO DEL AVANCE</t>
  </si>
  <si>
    <t>SUMA ACTIVIDADES</t>
  </si>
  <si>
    <t>CUMPLIMIENTO</t>
  </si>
  <si>
    <t>ACCIÓN</t>
  </si>
  <si>
    <t>ACTIVIDAD</t>
  </si>
  <si>
    <t>AVANCE</t>
  </si>
  <si>
    <t>PESO ACTIVIDAD</t>
  </si>
  <si>
    <t>SUMA DE ACCIONES</t>
  </si>
  <si>
    <t>SUMA DE HALLLAZGOS</t>
  </si>
  <si>
    <t>HALLAZGOS CON MEJORAS CUMPLIDAS</t>
  </si>
  <si>
    <t>ACCIONES PLAN FINALIZADAS</t>
  </si>
  <si>
    <t>TOTAL DE ACCIONES</t>
  </si>
  <si>
    <t>PORCENTAJE DE CUMPLIMIENTO DEL PLAN DE MEJORAMIENTO:</t>
  </si>
  <si>
    <t>TOTAL HALLAZGOS</t>
  </si>
  <si>
    <t>Actividades Finalizadas</t>
  </si>
  <si>
    <t>Total Actividades</t>
  </si>
  <si>
    <t>Actividades Vencidas</t>
  </si>
  <si>
    <t>Actividades en cero (0)</t>
  </si>
  <si>
    <t>ITEM</t>
  </si>
  <si>
    <t>ACCIONES FINALIZADAS</t>
  </si>
  <si>
    <t>ACCIONES  PENDIENTES</t>
  </si>
  <si>
    <t>Terminadas Primer Seguimiento</t>
  </si>
  <si>
    <t>Terminadas Segundo Seguimiento</t>
  </si>
  <si>
    <t>Parciales</t>
  </si>
  <si>
    <t>Terminadas Tercer Seguimiento</t>
  </si>
  <si>
    <t>Sin Avance</t>
  </si>
  <si>
    <t>ACCION DE MEJORA</t>
  </si>
  <si>
    <t>Fecha Finalización</t>
  </si>
  <si>
    <t>Fecha del Comité Coordinación Control Interno:</t>
  </si>
  <si>
    <t>Cant Unid  Medida</t>
  </si>
  <si>
    <t>Financiera</t>
  </si>
  <si>
    <t>AVANCE FÍSICO DE EJECUCIÓN ACTIVIDAD
 TRIMESTRE</t>
  </si>
  <si>
    <t>RESPONSABLE DE LA ACCIÓN DE MEJORA</t>
  </si>
  <si>
    <t>Hallazgo con acciones terminada en el Primer Seguimiento</t>
  </si>
  <si>
    <t>Hallazgo con acciones terminadas Tercer Seguimiento</t>
  </si>
  <si>
    <t>Hallazgo con acciones terminadas Segundo Seguimiento</t>
  </si>
  <si>
    <t>Hallazgos con acciones parciales</t>
  </si>
  <si>
    <t>Hallazgos con acciones sin avance</t>
  </si>
  <si>
    <t>ESTADO</t>
  </si>
  <si>
    <t>% AVANCE ACCION</t>
  </si>
  <si>
    <t>% AVANCE SUBSANACION HALLAZGO</t>
  </si>
  <si>
    <t>ESTADO DE LA ACCIÓN</t>
  </si>
  <si>
    <t>PONDERACIÓN ACTIVIDAD</t>
  </si>
  <si>
    <t>PONDERACIÓN</t>
  </si>
  <si>
    <t>VALOR</t>
  </si>
  <si>
    <t xml:space="preserve">Fecha del Comité: </t>
  </si>
  <si>
    <t xml:space="preserve">No. De Acta de Comité: </t>
  </si>
  <si>
    <t xml:space="preserve">No. De Informe de Avance: </t>
  </si>
  <si>
    <t xml:space="preserve">Fecha de corte de Informe de avance: </t>
  </si>
  <si>
    <t>INFORME DE PLAN DE MEJORAMIENTO</t>
  </si>
  <si>
    <t>Ninguna</t>
  </si>
  <si>
    <t>Fecha del informe de auditoria</t>
  </si>
  <si>
    <t>Responsable</t>
  </si>
  <si>
    <t>EVALUACION DE CONTROL INTERNO</t>
  </si>
  <si>
    <t>EFECTIVIDAD</t>
  </si>
  <si>
    <t>CUMPLIMIENTO ACTIVIDAD</t>
  </si>
  <si>
    <t>CUMPLE</t>
  </si>
  <si>
    <t>PARCIAL</t>
  </si>
  <si>
    <t>NO CUMPLE</t>
  </si>
  <si>
    <t>RESULTADO CUMPLIMIENTO</t>
  </si>
  <si>
    <t>RESULTADO EFECTIVIDAD  HALLAZGO</t>
  </si>
  <si>
    <t>EFECTIVAS</t>
  </si>
  <si>
    <t>NO EFECTIVAS</t>
  </si>
  <si>
    <t>NO EVALUADAS</t>
  </si>
  <si>
    <t>Finalizada</t>
  </si>
  <si>
    <t>Vencida</t>
  </si>
  <si>
    <t xml:space="preserve">Vigente </t>
  </si>
  <si>
    <t>Estado</t>
  </si>
  <si>
    <t>Estado de la actividad</t>
  </si>
  <si>
    <t>AVANCE FÍSICO DE UNIDAD DE MEDIDA</t>
  </si>
  <si>
    <t>HALLAZGO CON MEJORAS CUMPLIDAS</t>
  </si>
  <si>
    <t>HALLAZGO CON ACCIONES CUMPLIDAS</t>
  </si>
  <si>
    <t>HALLAZGO PENDIENTE DE CUMPLIMIENTO DE ACCION</t>
  </si>
  <si>
    <t>Terminadas Cuarto Seguimiento</t>
  </si>
  <si>
    <t xml:space="preserve">EFECTIVAS </t>
  </si>
  <si>
    <t>EFECTIVIDAD DEL PLAN</t>
  </si>
  <si>
    <t>01-2019</t>
  </si>
  <si>
    <t>02-2019</t>
  </si>
  <si>
    <t>03-2019</t>
  </si>
  <si>
    <t>04-2019</t>
  </si>
  <si>
    <t>05-2019</t>
  </si>
  <si>
    <t>06-2019</t>
  </si>
  <si>
    <t>07-2019</t>
  </si>
  <si>
    <t>08-2019</t>
  </si>
  <si>
    <t>09-2019</t>
  </si>
  <si>
    <t>10-2019</t>
  </si>
  <si>
    <t>11-2019</t>
  </si>
  <si>
    <t>12-2019</t>
  </si>
  <si>
    <t>13-2019</t>
  </si>
  <si>
    <t>14-2019</t>
  </si>
  <si>
    <t>15-2019</t>
  </si>
  <si>
    <t>16-2019</t>
  </si>
  <si>
    <t>17-2019</t>
  </si>
  <si>
    <t>18-2019</t>
  </si>
  <si>
    <t>19-2019</t>
  </si>
  <si>
    <t>20-2019</t>
  </si>
  <si>
    <t>21-2019</t>
  </si>
  <si>
    <t>22-2019</t>
  </si>
  <si>
    <r>
      <rPr>
        <b/>
        <sz val="9"/>
        <rFont val="Calibri"/>
        <family val="2"/>
      </rPr>
      <t xml:space="preserve">HALLAZGO 1 CONCILIACIÓN CARTERA
</t>
    </r>
    <r>
      <rPr>
        <sz val="9"/>
        <rFont val="Calibri"/>
        <family val="2"/>
      </rPr>
      <t>La Universidad Tecnológica de Pereira presenta en el Estado de Situación Financiera a 31/12/2019, un saldo por cobrar en la cuenta 1317 Prestación de Servicios por $5.729.951.935, que representa el 76% del saldo total del grupo 13 Cuentas por cobrar por $7.504.089.135. 
Para confirmar el saldo de la cuenta 1317, se circularizaron 15 terceros con saldos por $4.856.512.939; de los cuales, 6 terceros informaron a este Ente de Control, no poseer cuentas por pagar a 31/12/2019 a favor de la UTP; o en su defecto, los saldos en su contabilidad difieren del valor presentado por la Universidad Tecnológica de Pereira, estableciendo una diferencia de $1.413.349.397 al confirmar los saldos por terceros circularizados. (ver tabla 8 Informe)</t>
    </r>
  </si>
  <si>
    <r>
      <t xml:space="preserve">HALLAZGO 2 DETERIORO DE CUENTAS POR COBRAR 
</t>
    </r>
    <r>
      <rPr>
        <sz val="9"/>
        <rFont val="Calibri"/>
        <family val="2"/>
      </rPr>
      <t>Contrario a lo señalado en su propio Manual de Políticas Contables, la Universidad Tecnológica de Pereira, para la vigencia 2019, registró deterioro de cuentas por cobrar por $4.181.816, cuyo vencimiento no alcanzaba los 180 días, como se detalla a continuación (Ver tabla 9 de informe).  Estas cuentas por cobrar antes de ser deterioradas fueron registradas en la cuenta 1385 Cuentas por cobrar de difícil recaudo, en donde se reconocen las cuentas que por su antigüedad y morosidad (180 días) han sido reclasificadas desde la cuenta principal, por lo tanto, las cuentas en mención no cumplían el requisito para haber sido reclasificadas a la cuenta 1385 y posteriormente deterioradas.</t>
    </r>
  </si>
  <si>
    <r>
      <rPr>
        <b/>
        <sz val="9"/>
        <rFont val="Calibri"/>
        <family val="2"/>
      </rPr>
      <t>HALLAZGO 3 ACTUALIZACIÓN DEL PLAN DE ACTIVOS</t>
    </r>
    <r>
      <rPr>
        <sz val="9"/>
        <rFont val="Calibri"/>
        <family val="2"/>
      </rPr>
      <t xml:space="preserve">
Contrario a la norma de actualización del plan de activos para beneficios posempleo, la Universidad Tecnológica de Pereira no registró en la cuenta 1904 el valor de los rendimientos financieros generados por la inversión en TES. 
La cuenta 1904 se encuentra subestimada en $2.200.000.000, toda vez que no se registró el valor de los rendimientos financieros generados por las inversiones que hacen parte del plan de activos, estos recursos quedaron excluidos del Plan de activos para beneficios posempleo, el cual es de destinación exclusiva para la atención de las obligaciones pensionales y no pueden destinarse a otro fin.
</t>
    </r>
  </si>
  <si>
    <r>
      <rPr>
        <b/>
        <sz val="9"/>
        <rFont val="Calibri"/>
        <family val="2"/>
      </rPr>
      <t>HALLAZGO 4 AMORTIZACIÓN ACTIVOS INTANGIBLES</t>
    </r>
    <r>
      <rPr>
        <sz val="9"/>
        <rFont val="Calibri"/>
        <family val="2"/>
      </rPr>
      <t xml:space="preserve">
Incumpliendo lo anterior, la Universidad Tecnológica de Pereira, durante la vigencia 2019, realizó medición posterior inadecuada de las licencias y software que hacen parte de los activos intangibles, calculando la amortización con una vida útil de 1080 días (3 años) para todos los activos, sin tener en cuenta los términos particulares de duración de cada licencia establecidos en los contratos, reconociendo un menor valor en la cuenta 197507 licencias por $496.300.145; adicionalmente fueron amortizados en la vigencia, dos software que se encontraban en desarrollo y que fueron trasladados en el mes de diciembre, mediante ajuste contable, a la cuenta 197010 Activos intangibles en fase de desarrollo,  los cuales no debían ser objeto de amortización, puesto que no se obtuvieron beneficios económicos de estos durante el 2019, dando como resultado un mayor valor en la cuenta 197508 software por $6.645.716. Las diferencias se detallan (ver tabla 10 Informe)</t>
    </r>
  </si>
  <si>
    <r>
      <rPr>
        <b/>
        <sz val="9"/>
        <rFont val="Calibri"/>
        <family val="2"/>
      </rPr>
      <t xml:space="preserve">HALLAZGO 5 OPERACIONES RECÍPROCAS MEN 
</t>
    </r>
    <r>
      <rPr>
        <sz val="9"/>
        <rFont val="Calibri"/>
        <family val="2"/>
      </rPr>
      <t>Contrario a las normas citadas, la Universidad Tecnológica de Pereira, presentó diferencia por $248.579.266, entre el saldo contable a diciembre 31 de 2019 de la cuenta 4428 OTRAS TRANSFERENCIAS y el valor reportado por el Ministerio de Educación Nacional en el informe de operaciones recíprocas de la Contaduría General de la Nación, tratándose de una transferencia para pensiones de la vigencia anterior, que no fue reconocida en dicha vigencia. 
La subcuenta 442801 Pensiones, presentó diferencia por $20.471.010, según nota de contabilidad 118 del 30 de abril de 2019; la diferencia por $2.199.763.510, presentada en el código 442803 funcionamiento, corresponde a error en la clasificación contable según notas de contabilidad 398 del 04 de octubre de 2019 por $1.971.655.254 que debía ser registrada en la cuenta 442805 Programas de educación y 190 del 7 de junio de 2019 por $228.108.256, que correspondía a transferencia para pensiones, tal co</t>
    </r>
    <r>
      <rPr>
        <b/>
        <sz val="9"/>
        <rFont val="Calibri"/>
        <family val="2"/>
      </rPr>
      <t>mo se detalla a continuación (Ver tabla 11 Informe)</t>
    </r>
  </si>
  <si>
    <r>
      <rPr>
        <b/>
        <sz val="9"/>
        <rFont val="Calibri"/>
        <family val="2"/>
      </rPr>
      <t xml:space="preserve">HALLAZGO 6 DERECHOS POR COBRAR PENSIONES </t>
    </r>
    <r>
      <rPr>
        <sz val="9"/>
        <rFont val="Calibri"/>
        <family val="2"/>
      </rPr>
      <t xml:space="preserve">
Contrario a las normas citadas, la Universidad Tecnológica de Pereira registró las transferencias del Ministerio de Educación Nacional para pensiones de la vigencia 2019 por $1.615.236.239, en la cuenta 442801 transferencias para pensiones, debiendo ser acreditada la subcuenta 190408-Derechos por cobrar-Concurrencia para el pago de pensiones de la cuenta 1904-PLAN DE ACTIVOS PARA BENEFICIOS POSEMPLEO, con el fin de amortizar los derechos por cobrar correspondientes a la concurrencia.
Así mismo, no reconoció en la subcuenta 190408 Derechos por cobrar, la concurrencia pensional a cargo del Ministerio de Educación Nacional, tratándose de derechos que hacen parte integral del plan de activos para financiar el pasivo pensional por $70.323.601.096, según saldo de la cuenta 2514.</t>
    </r>
  </si>
  <si>
    <r>
      <rPr>
        <b/>
        <sz val="9"/>
        <rFont val="Calibri"/>
        <family val="2"/>
      </rPr>
      <t xml:space="preserve">HALLAZGO 7 INGRESOS MATRÍCULA FINANCIERA </t>
    </r>
    <r>
      <rPr>
        <sz val="9"/>
        <rFont val="Calibri"/>
        <family val="2"/>
      </rPr>
      <t xml:space="preserve">
Contrario a las normas citadas, la Universidad Tecnológica de Pereira, al cierre de la vigencia 2019, presentó un mayor valor por $545.570.442 en los ingresos contables por venta de servicios educativos, como resultado de las diferencias identificadas en 15.952 terceros de un total de 21.178, mediante el cruce de las siguientes bases de datos:
•	Informe de matrícula financiera, que contiene la relación de los estudiantes matriculados en los períodos académicos 2019-I y 2019-II y los respectivos pagos, detallados por número de identificación, programas académicos, jornadas, separado por pregrado nuevos, antiguos y posgrado.
•	Base de datos 2: Ingresos por prestación de servicios educativos, según saldos contables por terceros, correspondientes las cuentas 4305, 4390 y 4395, las cuales integran los diferentes conceptos que afectan la matrícula. 
Así mismo, se evidenció que los pagos efectuados por el ICETEX por $7.059.236.271, no fueron afectados en forma detallada por estudiante beneficiario, en el software de matrícula financiera, ni en contabilidad. </t>
    </r>
  </si>
  <si>
    <r>
      <rPr>
        <b/>
        <sz val="9"/>
        <rFont val="Calibri"/>
        <family val="2"/>
      </rPr>
      <t xml:space="preserve">HALLAZGO 8 REGISTRO PARA PROVISIONES DE LITIGIOS Y DEMANDAS </t>
    </r>
    <r>
      <rPr>
        <sz val="9"/>
        <rFont val="Calibri"/>
        <family val="2"/>
      </rPr>
      <t xml:space="preserve">
La Universidad Tecnológica de Pereira – UTP registró provisiones y ajustes a provisiones para litigios y demandas, incurriendo en subestimaciones y sobreestimaciones de las cuentas de ingresos y de gastos que alteraron el resultado del periodo contable 2019 en $35.037.528; así (Ver tabla 12 Informe)
Igualmente se evidenció, sobreestimación de la cuenta 2460 Créditos Judiciales por $28.548.528, toda vez que la UTP canceló al beneficiario del registro el valor total conciliado por $56.875.424, de los cuales $6.093.795 de destinaron al pago de aportes de seguridad social, de conformidad con la Resolución de Rectoría 8629 del 16/12/2019. Como consecuencia del pago total del acuerdo conciliatorio, el saldo por pagar registrado a 31/12/2019 en la cuenta 2460 Créditos judiciales debía ser $0. El reconocimiento inicial de la cuenta por pagar fue de $85.423.952.</t>
    </r>
  </si>
  <si>
    <r>
      <rPr>
        <b/>
        <sz val="9"/>
        <rFont val="Calibri"/>
        <family val="2"/>
      </rPr>
      <t xml:space="preserve">HALLAZGO 9 COSTOS DE FINANCIACIÓN </t>
    </r>
    <r>
      <rPr>
        <sz val="9"/>
        <rFont val="Calibri"/>
        <family val="2"/>
      </rPr>
      <t xml:space="preserve">
Contrario a lo establecido por la norma de costos de financiación, la Universidad Tecnológica de Pereira – UTP, registró como gasto en la cuenta 580435 Costo Efectivo de Préstamos por Pagar el valor de $102.766.793 por concepto del 100% de los intereses generados en 2019 por un crédito de la línea Findeter contratado en la vigencia por $10.511.836.935 y destinados al proyecto denominado “Mejoramiento de la Infraestructura de la Universidad Tecnológica de Pereira - UTP para el desarrollo de sus actividades misionales. Pereira”, debiendo capitalizar costos y registrarlos como un mayor valor de los activos por $26.587.458, como se detalla a continuación (Ver tabla 13 Informe)</t>
    </r>
  </si>
  <si>
    <r>
      <rPr>
        <b/>
        <sz val="9"/>
        <rFont val="Calibri"/>
        <family val="2"/>
      </rPr>
      <t xml:space="preserve">HALLAZGO 10 CONTRATO 5641 DE 2018 BLOQUE HORTICULTURA </t>
    </r>
    <r>
      <rPr>
        <sz val="9"/>
        <rFont val="Calibri"/>
        <family val="2"/>
      </rPr>
      <t xml:space="preserve">
En visita técnica realizada a la Universidad Tecnológica de Pereira, a las obras ejecutadas según contrato de obra 5641 de 2018, se evidenció lo siguiente: 
Contrato de obra 5641 de 2018: Valor $610.710.888. Objeto: construcción de módulo académico para el programa de producción hortícola de la UTP. Se evidenció en la inspección ocular a la obra, lo siguiente (Ver Tabla 14 Informe)</t>
    </r>
  </si>
  <si>
    <r>
      <rPr>
        <b/>
        <sz val="9"/>
        <rFont val="Calibri"/>
        <family val="2"/>
      </rPr>
      <t xml:space="preserve">HALLAZGO 11 CONTRATO 5628 DE 2018 BLOQUE G MEDICINA </t>
    </r>
    <r>
      <rPr>
        <sz val="9"/>
        <rFont val="Calibri"/>
        <family val="2"/>
      </rPr>
      <t xml:space="preserve">
En visita técnica realizada a la Universidad Tecnológica de Pereira, a las obras ejecutadas según contratos de obra 5628 de 2018, se evidenció lo siguiente: 
Contrato 5628 de 2018: Objeto: construcción de pavimento y obras complementarias en acceso a la entrada g de la UTP. Valor total: $93.700.000.
En la Inspección ocular llevada a cabo el día 27 de febrero de 2020, se evidenció un daño superficial del tipo “desintegración” de severidad media en dos platos del pavimento en concreto hidráulico, en el sector donde inicia la aguja de acceso al parqueadero, que corresponde geométricamente a un trapecio con bases de 3.7 mts y 4.9 mts y una altura de 3.4 mts, para un área total afectada de 14.62 metros cuadrados, cuyo costo directo fue de $1.608.200, e incluyendo el AIU del 37.87%, arroja un valor de $2.217.225,3. También se observó pulimiento en algunos platos. (Ver tabla 15 Informe)</t>
    </r>
  </si>
  <si>
    <r>
      <rPr>
        <b/>
        <sz val="9"/>
        <rFont val="Calibri"/>
        <family val="2"/>
      </rPr>
      <t xml:space="preserve">HALLAZGO 12 CONTRATO 5613 DE 2018 OBRAS ESCENARIO DEPORTIVO ETAPA 2 </t>
    </r>
    <r>
      <rPr>
        <sz val="9"/>
        <rFont val="Calibri"/>
        <family val="2"/>
      </rPr>
      <t xml:space="preserve">
La Universidad Tecnológica de Pereira, suscribió el contrato de obra 5613 el 12 de octubre de 2018, liquidado 23 de noviembre de 2019, para la construcción de la Etapa N° 02 de los nuevos escenarios deportivos, por $581.651.043. 
En el proceso de verificación de la ejecución del contrato, mediante visita de inspección física al sitio de ejecución de las obras y análisis de información documental, se encontraron las siguientes deficiencias:
1. En el ítem nuevo 13.23 “Baranda en acero inoxidable con pasamanos en tubería de 2 pulgadas”, un hilo en tubería de 1½ pulgada y dos hilos en tubería de 1 pulgada, parales en platina de acero inoxidable cada 1,0 m”, se evidenció que:
No se cumplieron las especificaciones técnicas de la actividad, ya que no se respetó la distancia de los parales cada 1,0 m. Se encontraron espaciamientos entre parales de barandas de hasta 1,16 m para el área de las graderías, 1,50 m para el área de la rampa de acceso a recepción, 1,22 m para el acceso al gimnasio abierto, 1,60 m para el área de pasillo recepción, 1,55 m en escaleras tramo superior, 1,83m en escaleras tramo inferior y, 1,65 m, 1,55 m, 1,20 m para el área de conexión del gimnasio abierto con el cerrado. 
No se respetaron las dimensiones de la tubería. Se encontró que, en las barandas de las áreas de rampa de acceso a recepción, área de acceso a gimnasio abierto, área de pasillo recepción, área de conexión entre gimnasios abierto y cerrado, así como los tramos superior e inferior de la escalera, se instaló un hilo en tubería de 1¼ pulgada, en vez de un hilo en tubería de 1½ pulgada, como lo requería y especificaba el ítem.
Algunas barandas presentan inestabilidad, como las barandas de las rampas de acceso a gimnasio abierto y rampa de acceso al área de recepción. 
Las irregularidades descritas en la ejecución del ítem de las barandas, generan un menoscabo al patrimonio por $19.594.018,08, por concepto de producto recibido y pagado, no conforme a las especificaciones contractuales establecidas. (ver Tabla 16 Informe)
2. Se evidenció que a través del ítem 7.02 “Sanitario Institucional ADRIÁTICO de CORONA color blanco para baños de personas con movilidad reducida PMR; con sistema de válvula antivandálica de empotrar tipo push”, se pagó un sanitario convencional Corona de dos piezas (taza con tanque superior), con sistema de vaciado de manija frontal, el cual no corresponde con las especificaciones técnicas requeridas contractualmente por la universidad ni con la propuesta económica del contratista. Esta actividad ejecutada en el baño para personas con movilidad reducida en el módulo de recepción, genera un detrimento al patrimonio por $1.139.599,24, correspondiente al pago del ítem 7.02 (AIU incluido). Producto recibido y pagado no conforme a las especificaciones contractuales.
3. Se evidenció que en la ejecución de la actividad 7.03 “Accesorios ortopédicos en acero inoxidable para baños de personas con movilidad reducida PMR conformado por 1 barra abatible y barra de apoyo a muro, referencia CORONA”, no se instaló la barra abatible o plegable, tal como lo exigían las especificaciones técnicas contractuales. Esta actividad ejecutada en el baño para personas con movilidad reducida en el módulo de recepción, genera un detrimento al patrimonio por $493.487,06, correspondiente al pago del ítem 7.03 (AIU incluido). Producto recibido y pagado no conforme a las especificaciones contractuales.
4. En la actividad 10.01 “Adoquín peatonal 0.20mx0.10mx0.06m color gris.  Incluye arena de base y sello” y actividad 10.02 “Adoquín peatonal 0.20mx0.10mx0.06m color amarillo Incluye arena de base y sello” por $72.367 m2, se pagaron mayores cantidades a las realmente ejecutadas acumuladas para los dos ítems, por $1.218.398 así (Ver tabla 17)
En resumen, las deficiencias encontradas ascienden a $22.445.502, por actividades ejecutadas, recibidas y pagadas, no conforme a las especificaciones contractuales establecidas y mayores cantidades pagadas a las realmente ejecutadas, así (Ver tabla 18 Informe)</t>
    </r>
  </si>
  <si>
    <r>
      <rPr>
        <b/>
        <sz val="9"/>
        <rFont val="Calibri"/>
        <family val="2"/>
      </rPr>
      <t xml:space="preserve">HALLAZGO 13 CONTRATO 5660 DE 2018 </t>
    </r>
    <r>
      <rPr>
        <sz val="9"/>
        <rFont val="Calibri"/>
        <family val="2"/>
      </rPr>
      <t xml:space="preserve">
La Universidad Tecnológica de Pereira, suscribió el contrato de obra 5660 de 2018, liquidado el 20 de septiembre del 2019, el cual tiene por objeto: Adecuación funcional laboratorios de Química ambiental y procesos biológicos en la facultad de ciencias ambientales de la UTP, por $ 262.891.547 y pagado por el mismo valor. 
En la inspección ocular llevada a cabo el día 17 y 19 de marzo de 2020, en compañía de la ingeniera de la oficina de planeación, se evidenció el recibo y pago de algunos ítems que no cumplen las especificaciones técnicas estipuladas en el contrato, y pago de mayor cantidad de obra, como lo muestra el siguiente cuadro (ver tabla 19 Informe)</t>
    </r>
  </si>
  <si>
    <r>
      <rPr>
        <b/>
        <sz val="9"/>
        <rFont val="Calibri"/>
        <family val="2"/>
      </rPr>
      <t xml:space="preserve">HALLAZGO 14 CONTRATO 5655 DE 2018 </t>
    </r>
    <r>
      <rPr>
        <sz val="9"/>
        <rFont val="Calibri"/>
        <family val="2"/>
      </rPr>
      <t xml:space="preserve">
La Universidad Tecnológica de Pereira, suscribió el contrato de obra 5655 de 2018, liquidado 2 septiembre del 2019, el cual tiene por objeto: Contrato de obra para la adecuación funcional del espacio actual y la modificación de redes (eléctrica y de datos) para la adecuación de las vicerrectorías académicas y administrativas de la UTP, por $136.944.675.
En la inspección ocular llevada a cabo el día 10 de marzo de 2020, se evidenció el pago de mayores cantidades de obra, como se detalla en el siguiente cuadro; igualmente en el itero 3.5 "Puertas de 0.95 m x 3 m de una nave batiente en aluminio natural y vidrio de 8 mm" se observó que el vidrio colocado es de un espesor inferior a los 8mm" especificados en el contrato.  (Ver tabla 20 Informe)
</t>
    </r>
  </si>
  <si>
    <r>
      <rPr>
        <b/>
        <sz val="9"/>
        <rFont val="Calibri"/>
        <family val="2"/>
      </rPr>
      <t xml:space="preserve">HALLAZGO 15 CONTRATO 5653 DE 2018 ADECUACIÓN GESTIÓN FINANCIERA </t>
    </r>
    <r>
      <rPr>
        <sz val="9"/>
        <rFont val="Calibri"/>
        <family val="2"/>
      </rPr>
      <t xml:space="preserve">
La Universidad Tecnológica de Pereira, suscribió el contrato de obra 5653 de 2018, liquidado septiembre 2 del 2019, el cual tiene por objeto: Contrato de Obra para la Adecuación funcional del espacio actual y la modificación de redes (eléctrica y de datos) de Gestión Financiera de la UTP, por $163.714.599 y valor pagado por $163.714.598.
En la inspección ocular llevada a cabo el día 6 de marzo de 2020, en compañía del tecnólogo en instalaciones eléctricas y la arquitecta de la oficina de planeación, se evidenció el pago de mayores y menores cantidades de obra a las realmente ejecutadas, como se detalla en el siguiente cuadro (Ver tabla 21 Informe)</t>
    </r>
  </si>
  <si>
    <r>
      <rPr>
        <b/>
        <sz val="9"/>
        <rFont val="Calibri"/>
        <family val="2"/>
      </rPr>
      <t xml:space="preserve">HALLAZGO 16 CONTRATO 5660 DE 2018 CIENCIAS AMBIENTALES </t>
    </r>
    <r>
      <rPr>
        <sz val="9"/>
        <rFont val="Calibri"/>
        <family val="2"/>
      </rPr>
      <t xml:space="preserve">
La Universidad Tecnológica de Pereira, suscribió el contrato de obra 5660 de 2018, liquidado el 20 de septiembre del 2019, el cual tiene por objeto: Adecuación funcional laboratorios de Química ambiental y procesos biológicos en la facultad de ciencias ambientales de la UTP, por $ 262.891.547 y pagado por el mismo valor. 
En la inspección ocular llevada a cabo el día 17 y 19 de marzo de 2020, en compañía de la ingeniera de la oficina de planeación, se evidenció el recibo y pago de algunos ítems que no cumplen las especificaciones técnicas estipuladas en el contrato (pérgola, y muebles en acero inoxidable), la utilización de elementos estructurales para trabajos que no lo requieren (pérgola) y pago de mayor cantidad de obra (mueble), como lo muestra el siguiente cuadro (Ver tabla 22 Informe)</t>
    </r>
  </si>
  <si>
    <r>
      <rPr>
        <b/>
        <sz val="9"/>
        <rFont val="Calibri"/>
        <family val="2"/>
      </rPr>
      <t xml:space="preserve">HALLAZGO 17 PRESENTACIÓN DEL PASIVO POR BENEFICIOS POSEMPLEO </t>
    </r>
    <r>
      <rPr>
        <sz val="9"/>
        <rFont val="Calibri"/>
        <family val="2"/>
      </rPr>
      <t xml:space="preserve">
Contrario a lo anterior, la Universidad Tecnológica de Pereira, presentó en el Estado de Situación Financiera a diciembre 31 de 2019 un saldo por $43.287.581.096 por beneficios posempleo, debiendo presentar el valor total neto del pasivo por beneficios posempleo por $43.256.928.503, resultante de descontar del saldo del pasivo por Beneficios Posempleo – Pensiones por $70.323.601.096 (Cuenta 2514 y Nota 9 a los Estados Financieros), el saldo del Plan de Activos para beneficios Posempleo que al cierre de la vigencia ascendió a $27.066.672.593 (Cuenta 1904 y Nota 6).</t>
    </r>
  </si>
  <si>
    <r>
      <rPr>
        <b/>
        <sz val="9"/>
        <rFont val="Calibri"/>
        <family val="2"/>
      </rPr>
      <t xml:space="preserve">HALLAZGO 18 REGISTROS PASIVO PENSIONAL </t>
    </r>
    <r>
      <rPr>
        <sz val="9"/>
        <rFont val="Calibri"/>
        <family val="2"/>
      </rPr>
      <t xml:space="preserve">
Contrario a lo anterior, se evidenció que la Universidad Tecnológica de Pereira no registró la causación de la nómina de pensionados, conforme lo señala el procedimiento en comento utilizando las subcuentas 251410 (DB) y 251401 (CR) para cada uno de los terceros evaluados, toda vez que el libro auxiliar de la subcuenta 251401 solo registra movimientos débitos para cada tercero, lo que significa que se registró el pago de la nómina sin que ésta se hubiere causado (movimiento crédito) para cada uno de los beneficiarios de la misma, como se detalla a continuación (ver tabla 23 Informe)
Igualmente se evidenció que dentro de la cuenta 2514 la Universidad Tecnológica de Pereira manejó terceras personas jurídicas para registrar la causación de la nómina de pensionados, situación que no permite identificar al beneficiario concreto de la mesada pensional, lo que dificulta el proceso auditor; como se detalla a continuación (Ver tabla 24 Informe)</t>
    </r>
  </si>
  <si>
    <r>
      <rPr>
        <b/>
        <sz val="9"/>
        <rFont val="Calibri"/>
        <family val="2"/>
      </rPr>
      <t xml:space="preserve">HALLAZGO 19 NOTAS A LA INFORMACIÓN CONTABLE </t>
    </r>
    <r>
      <rPr>
        <sz val="9"/>
        <rFont val="Calibri"/>
        <family val="2"/>
      </rPr>
      <t xml:space="preserve">
Incumpliendo lo anterior, la Universidad Tecnológica de Pereira a 31 de diciembre del 2019, omitió revelar en las notas explicativas a la información contable lo siguiente:
Cuentas por pagar:
•	La entidad revelará información relativa al valor en libros y a las condiciones de la cuenta por pagar, tales como: plazo, tasa de interés (de ser pactada) y vencimiento. 
Beneficios posempleo:
•	Una descripción general del tipo de beneficio posempleo, incluyendo la política de financiación.
•	La cuantía de las ganancias o pérdidas actuariales y de las ganancias o pérdidas del plan de activos para beneficios posempleo, reconocidas durante el periodo en el patrimonio.
•	La metodología aplicada para la medición del pasivo por beneficios posempleo, incluyendo una descripción de las principales suposiciones actuariales utilizadas.
•	Una descripción de las modificaciones, reducciones y liquidaciones de los beneficios posempleo, en caso de que estas se presenten.
•	Una conciliación de los saldos de apertura y cierre del pasivo por beneficios posempleo, de los activos que hacen parte del plan de activos para beneficios posempleo y de los derechos de reembolso, indicando los conceptos que dieron origen a las variaciones. 
•	Las razones por las cuales, debiendo reconocer los costos del servicio presente o los costos del servicio pasado en el resultado del periodo, no lo hizo. 
También se observó que, en la Nota 2 denominada Grupo 12- INVERSIONES E INSTRUMENTOS DERIVADOS, se incluyeron dos TES por $22.000.000.000 que no corresponden a este grupo sino al grupo 19 OTROS ACTIVOS, por tratarse de inversiones que hacen parte integral del plan de activos para beneficios posempleo</t>
    </r>
  </si>
  <si>
    <r>
      <rPr>
        <b/>
        <sz val="9"/>
        <rFont val="Calibri"/>
        <family val="2"/>
      </rPr>
      <t xml:space="preserve">HALLAZGO 20 PASIVOS EXIGIBLES </t>
    </r>
    <r>
      <rPr>
        <sz val="9"/>
        <rFont val="Calibri"/>
        <family val="2"/>
      </rPr>
      <t xml:space="preserve">
Incumpliendo las normas citadas, en la Universidad Tecnológica de Pereira, no constituyó dos cuentas por pagar en las vigencias anteriores por $8.160.430, a pesar de haber recibido a satisfacción los servicios contratados y de haber existido el respaldo presupuestal y disponibilidad de recursos, debiendo recurrir en la vigencia 2019, al mecanismo de pasivos exigibles – vigencias expiradas para el cumplimiento de las siguientes obligaciones (ver tabla 25 Informe)</t>
    </r>
  </si>
  <si>
    <r>
      <rPr>
        <b/>
        <sz val="9"/>
        <rFont val="Calibri"/>
        <family val="2"/>
      </rPr>
      <t xml:space="preserve">HALLAZGO 21 CONTRATOS 5843 y 5657 SISTEMAS DE DETECCIÓN DE INCENDIOS </t>
    </r>
    <r>
      <rPr>
        <sz val="9"/>
        <rFont val="Calibri"/>
        <family val="2"/>
      </rPr>
      <t xml:space="preserve">
La Universidad Tecnológica de Pereira, suscribió los contratos de obra N°5657 de 2018, liquidado el 27 de agosto 2019, el cual tiene por objeto la instalación y puesta en funcionamiento del sistema de detección de incendios para el bloque 7 de la Universidad Tecnológica de Pereira, por $154.114.325 y valor pagado por $153.322.678; así como, el contrato N°5843 de 2019, en ejecución, el cual tiene por objeto la automatización de espacios físicos e instalación del sistema de detección de incendios en el edificio N°9 e instalación de elementos del sistema de control de acceso de la Universidad Tecnológica de Pereira, por $164.918.930.
En la revisión documental a los estudios previos, pliegos de condiciones y demás documentos precontractuales de estos dos contratos, se evidenció que se soporta la necesidad de estas contrataciones en el cumplimiento de los títulos J) y K) de la NSR10; además, en el contrato N°5843 de 2019 se menciona y adjunta la tabla J.4.2.1 del título J) de la NSR 10, la cual fue suprimida mediante el Decreto 0092 de 2011 del Ministerio de Ambiente, Vivienda y Desarrollo Territorial, modificatorio del título J) de la NSR10, títulos y tablas que fueron suprimidas. Esto es, que los estudios previos referenciados, fueron sustentados en normas modificadas</t>
    </r>
  </si>
  <si>
    <r>
      <rPr>
        <b/>
        <sz val="9"/>
        <rFont val="Calibri"/>
        <family val="2"/>
      </rPr>
      <t xml:space="preserve">HALLAZGO 22 TRÁMITE PQRs </t>
    </r>
    <r>
      <rPr>
        <sz val="9"/>
        <rFont val="Calibri"/>
        <family val="2"/>
      </rPr>
      <t xml:space="preserve">
En la Universidad Tecnológica de Pereira, para la vigencia 2019, se evidenció que no se dio respuesta oportuna a tres peticionarios, así (Ver tabla 26 Informe)</t>
    </r>
  </si>
  <si>
    <t>Junio de 2020</t>
  </si>
  <si>
    <t>Datos Informe</t>
  </si>
  <si>
    <t xml:space="preserve">No. Hallazgos de plan de mejoramiento de vigencia anterior que continuan </t>
  </si>
  <si>
    <t>No. De Hallazgos reportados en la vigencia</t>
  </si>
  <si>
    <t>Fecha de suscripcion del Plan de mejoramiento</t>
  </si>
  <si>
    <t>FECHA DE APROBACIÓN DEL PLAN DE MEJORAMIENTO</t>
  </si>
  <si>
    <t>DESCRIPCIÓN CUALITATIVO
DEL AVANCE</t>
  </si>
  <si>
    <t>10 de agosto de 2020</t>
  </si>
  <si>
    <t>Revisión del Procedimiento  y el Manual de Politicas Contables establecidos para la Cartera y Conciliación de la misma.</t>
  </si>
  <si>
    <t>Analizar los procedimientos y Manual de Politicas establecidos para la Cartera y la conciliación de la misma</t>
  </si>
  <si>
    <t>Documentar y adoptar las actualizaciones en los procedimientos y Manual de Políticas Contable de la Cartera.</t>
  </si>
  <si>
    <t>Socializar Procedimiento establecido con las dependencias involucradas en el proceso de cartera</t>
  </si>
  <si>
    <t>Gestion Contable</t>
  </si>
  <si>
    <t>Documento</t>
  </si>
  <si>
    <t>Debilidades de control en el proceso de análisis, verificación y conciliación de la información contable</t>
  </si>
  <si>
    <t xml:space="preserve">Sobreestimación de los saldos por cobrar (cuenta 1317) por $1.413.349.397 y de las cuentas 2407 Recursos a favor de terceros por $719.204.152; y 4390 Otros servicios por $665.027.007 y la subestimación de la cuenta 5120 Impuestos, contribuciones y tasas por $29.118.238.   </t>
  </si>
  <si>
    <t>Analizar los procedimientos y Manual de Politicas establecidos para el deterioro de Cuentas por Cobrar</t>
  </si>
  <si>
    <t xml:space="preserve">Documentar y adoptar las actualizaciones en los procedimientos y Manual de Políticas Contable del deteriro de Cuentas Cobrar </t>
  </si>
  <si>
    <t>Socializar Procedimiento establecido con las dependencias involucradas en el proceso del deterioro de cartera</t>
  </si>
  <si>
    <t>Socialización de la Norma de Beneficios Posempleo que define claramente el Manejo del Plan de Activos de la Universidad y su reconocimiento</t>
  </si>
  <si>
    <t>Realizar reunion con los involucrados con el manejo de la Inversión que soporta el Plan de Activos (Beneficios Posempleo de la Universidad)</t>
  </si>
  <si>
    <t>Ajustar  la cuenta 190401 para que el ingreso de los rendimientos de los  TES que respaldan el plan de activos cumpla con la norma establecida.</t>
  </si>
  <si>
    <t>Revisar y ajustar el Manual de Polticas contables en relación al tratamiento contable de los activos intangibles de acuerdo a la norma.</t>
  </si>
  <si>
    <t>Diseño de un formato para control del inventario de los Activos Intangibles de la Universidad.</t>
  </si>
  <si>
    <t xml:space="preserve"> Revisión de las Politicas Contables establecidas relacionadas con los activos intangibles y su amortización </t>
  </si>
  <si>
    <t xml:space="preserve">Establecer formato para  el control del inventario de los Activos Intangibles </t>
  </si>
  <si>
    <t>Implementar formato de control del inventario de los Activos Intangibles con las areas implicadas en el proceso.</t>
  </si>
  <si>
    <t>Ajustar la amortizacion de los Activos Intangibles de acuerdo a la vida útil.</t>
  </si>
  <si>
    <t>Ajuste de la cuenta contable de la Amortización de los Activos Intangibles.</t>
  </si>
  <si>
    <t>Revisión del Procedimiento  establecido para la conciliación de Operaciones Reciprocas</t>
  </si>
  <si>
    <t>Analizar los procedimientos y Manual de Politicas establecidos para la Conciliación de Operacines Reciprocas</t>
  </si>
  <si>
    <t xml:space="preserve">Documentar y adoptar las actualizaciones en los procedimientos y Manual de Políticas Contable de las Operaciones Reciprocas </t>
  </si>
  <si>
    <t>Socializar Procedimiento establecido con el grupo de trabajo</t>
  </si>
  <si>
    <t xml:space="preserve">  Circularización con las entidades con las cuales se  tienen Operaciones Recíprocas </t>
  </si>
  <si>
    <t xml:space="preserve">Circularizar con las entidades con las cuales se  tienen Operaciones Recíprocas </t>
  </si>
  <si>
    <t xml:space="preserve">Seguimiento a la circularización realizada  con las entidades reportadas </t>
  </si>
  <si>
    <t>Verificación de la contabilizacion de la concurrencia para el pago del pasivo pensional de acuerdo a la norma establecida</t>
  </si>
  <si>
    <t>Consultar a la Contaduría General de la Nacional si la universidad esta obligada a reconocer concurrencia pensional.</t>
  </si>
  <si>
    <t xml:space="preserve">Gestión Financiera </t>
  </si>
  <si>
    <t>Realizar Reunión con el Ministerio de Educación Nacional para tratar tema de la concurrencia pensional de la universidad</t>
  </si>
  <si>
    <t>Realizar el Ajuste contable de la cuentas de la  concurrencia de acuerdo a lo comunidado por el MEN</t>
  </si>
  <si>
    <t>Conciliar cada tercero cuenta por cuenta a los cuales se les realizará ajuste de provisión de acuerdo a la información enviada cada trimestre por la oficina de jurídica.</t>
  </si>
  <si>
    <t>Contabilizar el valor del saldo de la cuenta 2460  a nombre del señor Fabio Vera Grisales, una vez se hagan los respectivos cruces del pago de seguridad social pendientes por pagar enviados por la oficina de Talento Humano</t>
  </si>
  <si>
    <t>Comunicación a Gestion Contable la actualizacion de la provision contable, cuando exista acuerdo conciliatorio dentro del proceso judicial.</t>
  </si>
  <si>
    <t>Enviar memorando a Gestion Contable comunicando que se enviarà la actualizacion de la provision contable, una vez exista un acuerdo conciliatorio dentro del proceso judicial.</t>
  </si>
  <si>
    <t xml:space="preserve">Juridica </t>
  </si>
  <si>
    <t>Memorando</t>
  </si>
  <si>
    <t>Contabilización de la cancelacion del saldo de la cuenta por pagar Sentencias y Conciliaciones</t>
  </si>
  <si>
    <t>Realizar la socialización con la Oficina de Planeación y Tesorería de la interpretación de la norma de costos de financiación de acuerde al Nuevo Marco Normativo para Entidades de Gobierno con los involucrados</t>
  </si>
  <si>
    <t>Revisar con la Oficina de Planeación    el formato de reporte de los costos de financiación correspondiente a los creditos que se constituyan y que sean destinados a línea de infraestructura física.</t>
  </si>
  <si>
    <t>Realizar el Ajuste de acuerdo al informe enviado por la Oficina de Planeación responsable en la cuenta correspondiente de la 1615</t>
  </si>
  <si>
    <t xml:space="preserve"> Ajuste del formato para el reporte de los costos de financiación de los crédito que soportan a los activos. </t>
  </si>
  <si>
    <t>Ajuste de capitalización de intereses en las respectivas cuentas del activo.</t>
  </si>
  <si>
    <t>Interpretación de la Norma en relación a la medición de los Costos de Financiación.</t>
  </si>
  <si>
    <t xml:space="preserve">Revisión del auxiliar Litigios y  Demandas tercero por tercero trimestralmente.                                                                                                                                                                                                                      </t>
  </si>
  <si>
    <t>Definición e implementación un procedimiento de control y seguimiento para la planeación y ejecución de contratos de diseño, obra y adecuaciones</t>
  </si>
  <si>
    <t>Revisar todos los pasos para realizar el procedimiento de  control y seguimiento para la planeación y ejecución de contratos de diseño, obra y adecuaciones</t>
  </si>
  <si>
    <t>Oficina de Planeación</t>
  </si>
  <si>
    <t>Actas de reunión</t>
  </si>
  <si>
    <t>Documentar y adoptar el procedimiento de control y seguimiento para la planeación y ejecución de contratos de diseño, obra y adecuaciones</t>
  </si>
  <si>
    <t xml:space="preserve">Documento </t>
  </si>
  <si>
    <t>Socializar al equipo de trabajo el procedimiento de  control y seguimiento para la planeación y ejecución de contratos de diseño, obra y adecuaciones</t>
  </si>
  <si>
    <t xml:space="preserve">Acta de socialización </t>
  </si>
  <si>
    <t>Revisión del Procedimiento  establecido para la presentación de los Estados Financieros</t>
  </si>
  <si>
    <t>Actualizar los procedimientos para la presentación de los Estados Financieros.</t>
  </si>
  <si>
    <t xml:space="preserve">Documentar y adoptar las actualizaciones de los Estados Financieros </t>
  </si>
  <si>
    <t>Socializar Procedimiento establecido para la presentación de los Estados Financieros con el Grupo de Trabajo</t>
  </si>
  <si>
    <t>Implementación de un Instructivo para la desagregación de la Nómina de Pensionados</t>
  </si>
  <si>
    <t xml:space="preserve">
Diseñar un instructivo para la contabilización de las cuentas 251410 y 251401 desagregadas tercero a tercero.
</t>
  </si>
  <si>
    <t>Implementar el instructivo para la contabilización de las cuentas 251410 y 251401 desagregadas tercero a tercero.</t>
  </si>
  <si>
    <t>Socializar el instructivo para la contabilización de las cuentas 251410 y 251401 desagregadas tercero a tercero.</t>
  </si>
  <si>
    <t xml:space="preserve"> Implementación de un procedimiento para la solicitud de la información que conforma las Notas a la Información Contable</t>
  </si>
  <si>
    <t>Establecer el Procedimiento de requerida acuerdo a los parametros establecidos en la norma de la CGN,  para</t>
  </si>
  <si>
    <t>Adoptar el procedimiento requerido para la solicitud de la información entregada por las dependencias para la conformación de las Notas de la Información contable.</t>
  </si>
  <si>
    <t>Socializar el procedimiento requerido para la solicitud de la información entregada por las dependencias para la conformación de las Notas de la Información contable.</t>
  </si>
  <si>
    <t xml:space="preserve">
Actualización de Documentación interna que permita tener directrices claras sobre el pago de pasivos exigibles, vigencias expiradas y generación de cuentas por pagar</t>
  </si>
  <si>
    <t>Elaborar Propuesta actualización del estatuto presupuestal frente al tema de pasivos exigibles - vigencia expirada y cuentas por pagar</t>
  </si>
  <si>
    <t xml:space="preserve">Presentar propuesta de actualización del estatuto presupuestal al equipo de gestión financiera y al Vicerrector Admnistrativo para los fines pertinentes ante comité directivo </t>
  </si>
  <si>
    <t>Acta</t>
  </si>
  <si>
    <t>Presentar propuesta de actualización del estatuto avalada por el comité directivo al Consejo Superior</t>
  </si>
  <si>
    <t xml:space="preserve">Elaborar Propuesta de actualización de procedimiento de Pago de pasivo exigible - vigencia expirada </t>
  </si>
  <si>
    <t>Remitir propuesta de procedimiento de Pago de pasivo exigible - vigencia expirada a las dependencias involucradas para su revisión y obsevaciones a Jurídica, Secretaria General, Control Interno, Gestión Contable y Jefe Financiero.</t>
  </si>
  <si>
    <t>Correo electrónico</t>
  </si>
  <si>
    <t>Elaborar Propuesta de actualización de procedimiento generación de cuentas por pagar</t>
  </si>
  <si>
    <t>Remitir propuesta  generación de cuentas por pagar a las dependencias involucradas para su revisión y obsevaciones a Jurídica, Control Interno, Tesorero, Gestión de presupuesto y Jefe Financiero.</t>
  </si>
  <si>
    <t xml:space="preserve">Formato de solicitud de cambio </t>
  </si>
  <si>
    <t>Si bien las cuentas por pagar no se generan desde Gestión de Presupuesto sino desde el proceso contable una vez el ordenador o supervisor remiten los documentos de certificación y de soporte para pago, el no llevarse a cabo este paso genera e n la siguiente vigencia una solicitud de pago de pasivo exigible vigencia expirada que si afecta el proceso de gestión de presupuesto al tenerse que generar el RP con cargo a los recursos de la vigencia en que se solicita el pago</t>
  </si>
  <si>
    <t xml:space="preserve">Priorizar las normas técnicas relacionadas con diseños de infraestructura física que haran parte del banco de normas </t>
  </si>
  <si>
    <t>Acta de reunión</t>
  </si>
  <si>
    <t xml:space="preserve">Definir y construir el banco de normas técnicas relacionadas con diseños de infraestructura física </t>
  </si>
  <si>
    <t xml:space="preserve">Formato </t>
  </si>
  <si>
    <t xml:space="preserve">Priorizar la adquisición de las normas técncias relacionadas con diseños de infraestructura física </t>
  </si>
  <si>
    <t xml:space="preserve">Definir el procedimiento de uso de las normas técnicas relacionadas con diseños de infraestructura física  </t>
  </si>
  <si>
    <t>Construcción de un banco de normas técnicas relacionadas con diseños de infraestructura física</t>
  </si>
  <si>
    <t>Socializar a la comunidad universitaria sobre los cambios en la normatividad y procedimientos</t>
  </si>
  <si>
    <t>Socialización y sensibilización a los responsables del manejo de las PQRS, sobre los tiempos de respuesta al ciudadano y las implicaciones generadas</t>
  </si>
  <si>
    <t xml:space="preserve">Actualizar el Instructivo para la atención de las PQRS en el numeral "Términos para resolver las PQRS" </t>
  </si>
  <si>
    <t>Vicerrectoría Administrativa y Financiera</t>
  </si>
  <si>
    <t>Reunión</t>
  </si>
  <si>
    <t>Enviar comunicación a las dependencias responsables del manejo de Sistema PQRS sobre la importancia de dar respuesta oportuna al ciudadano</t>
  </si>
  <si>
    <t>Implementación del nuevo software de PQRS y Derechos de Petición</t>
  </si>
  <si>
    <t>Realizar reuniones para revisar los ajustes en el nuevo aplicativo de PQRS</t>
  </si>
  <si>
    <t>Socializar el manejo del nuevo aplicativo PQRS a las dependencias responsables y el uso adecuado del mismo.</t>
  </si>
  <si>
    <t>Implementar el nuevo aplicativo de PQRS.</t>
  </si>
  <si>
    <t>Aplicativo web</t>
  </si>
  <si>
    <t>Socializar el nuevo aplicativo PQRS a la comunidad en general.</t>
  </si>
  <si>
    <t>Campus Informa y Página web</t>
  </si>
  <si>
    <t>En estas reuniones participan: Recursos Informáticos y Educativos, Control Interno, Secretaría General y Gestión de Tecnologías Informáticas y Sistemas de Información.
La socializacion se realiza con el apoyo de: Recursos Informáticos y Educativos, Control Interno, Control Interno Disciplinario y Secretaría General
Una vez se implemente se debe socializar a través de los diferentes medios de comunicación de la UTP a toda la comunidad</t>
  </si>
  <si>
    <t>Solicitar  al Sistema Integral de Gestión de incluir los procedimientos de pasivo exigible  - vigencia expirada y  generación de cuentas por pagar una vez hayan sido aprobados actualizados por los actores</t>
  </si>
  <si>
    <t xml:space="preserve">Debilidades de control y seguimiento al procedimiento de deterioro de las cuentas por cobrar, situación </t>
  </si>
  <si>
    <t>Subestimación de la cuenta 1317 Prestación de servicios en $1.648.816, de la cuenta 1384 Otras cuentas por cobrar en $2.533.000 y la sobreestimación de la cuenta 5347 Deterioro de cuentas por cobrar por $4.181.816.</t>
  </si>
  <si>
    <t>Debilidades de control y seguimiento en el procedimiento para el registro de los hechos económicos relacionados con el pasivo pensional y con los recursos que lo financian</t>
  </si>
  <si>
    <t>Subestimación de la cuenta 1904 Plan de activos para beneficios posempleo por $2.200.000.000 y la sobreestimación de la cuenta 1110 Depósitos en Instituciones Financieras por el mismo valor</t>
  </si>
  <si>
    <t>Falta de un inventario detallado de todos los activos intangibles que se encuentran en uso, donde se identifique su costo y vida útil el cual sea insumo para el proceso contable; así mismo por debilidades de control interno contable relacionadas con las estimaciones</t>
  </si>
  <si>
    <t>Subestimación de la cuenta 197507 Licencias por $496.300.145 y sobrestimación de las cuentas 197508 software por $6.645.716 y 3110 resultado del ejercicio por $489.654.429</t>
  </si>
  <si>
    <t>Debilidades de control en la conciliación de operaciones reciprocas</t>
  </si>
  <si>
    <t>Dificultad en la consolidación de la información efectuada por la Contaduría General de la Nación y generando sobrestimación de la cuenta 3110 resultado del ejercicio y subestimación de la cuenta 3109 resultado de ejercicios anteriores por $248.579.266</t>
  </si>
  <si>
    <t>Debilidades de control en la transición efectuada al nuevo marco normativo en la vigencia anterior y por error en la aplicación del procedimiento establecido por la CGN para el manejo del pasivo pensional</t>
  </si>
  <si>
    <t>Sobrestimación de la cuenta 442801 transferencia para pensiones con efecto por cierre de vigencia en la cuenta 3110 resultado del ejercicio y subestimación de la cuenta 3109 resultado de ejercicios anteriores por $1.615.236.239</t>
  </si>
  <si>
    <t>Debilidades en la conciliación y ajustes de los registros contables de ingresos al cierre de la vigencia, en la depuración de saldos por terceros y en los controles del software de matrícula financiera</t>
  </si>
  <si>
    <t>Sobrestimación de la cuenta 311001 resultado del ejercicio y subestimación de la cuenta 291007 ventas por $545.570.442 y un riesgo de pérdida de recursos</t>
  </si>
  <si>
    <t>Debilidades de control y seguimiento en el proceso de registro de los procesos judiciales</t>
  </si>
  <si>
    <t>Sobrestimación de ingresos en la cuenta 4808 Ingresos Diversos por $219.602.716; así como la sobreestimación de gastos en la cuenta 5368 Provisión para Litigios y Demandas por $254.640.244, lo que finalmente reduce el Resultado del Ejercicio en $35.037.528; además de la sobreestimación de Créditos Judiciales cuenta 2460 por $28.548.528</t>
  </si>
  <si>
    <t>Debilidades de control y seguimiento en las áreas involucradas en la gestión, administración, identificación, clasificación y medición de un activo apto</t>
  </si>
  <si>
    <t>Subestimación de la Propiedad, Planta y Equipo por $26.587.458 y la sobreestimación de los Gastos Financieros por el mismo valor, lo que finalmente reduce el Resultado del Ejercicio en $26.587.458</t>
  </si>
  <si>
    <t>Debilidades y falencias en las actividades de planeación e interventoría y supervisión contractual</t>
  </si>
  <si>
    <t>Beneficio del proceso auditor por $11.085.093, porque el contratista subsanó las deficiencias encontradas</t>
  </si>
  <si>
    <t>Beneficio del proceso auditor por $2.217.225, porque el contratista subsanó las deficiencias encontradas</t>
  </si>
  <si>
    <t>Debilidades en las labores de verificación técnica en la ejecución de las actividades mencionadas</t>
  </si>
  <si>
    <t>Inconsistencia en la información reportada y un beneficio del proceso auditor por $22.445.502. La entidad aportó soportes de las correcciones por $21.227.104 y reintegro del contratista por $1.218.398</t>
  </si>
  <si>
    <t>Debilidades y falencias en las actividades de supervisión e interventoría, lo cual ocasionó que se recibieran y pagaran ítems sin cumplimiento de las especificaciones técnicas, mayores cantidades</t>
  </si>
  <si>
    <t>Beneficio del proceso auditor por $3.459.523, como resultado de reintegro del contratista por $2.572.465 y corrección por deficiencias por $887.058</t>
  </si>
  <si>
    <t>Pago de  mayores cantidades a las realmente ejecutadas e incumplimiento de las especificaciones técnicas plasmadas en el contrato, para el caso de la puerta por $1.385.306 y reintegro por $1.271.808 por los vidrios de menor espesor; generando un beneficio del proceso auditor por $2.657.114.</t>
  </si>
  <si>
    <t>Debilidades y falencias en las actividades de interventoría y supervisión del contrato</t>
  </si>
  <si>
    <t>Debilidades y falencias en las actividades de supervisión e interventoría, lo cual ocasiono que se pagaran mayores cantidades a las realmente ejecutadas</t>
  </si>
  <si>
    <t>Riesgo en dejar de invertir recursos en beneficio de la comunidad universitaria y reintegro del contratista generando un beneficio proceso auditor por $722.000</t>
  </si>
  <si>
    <t>Recibir  y pagar ítems sin cumplimiento de las especificaciones técnicas, mayores cantidades y la utilización de estructuras innecesarias, Detrimento patrimonial a la universidad por $18.787.785 y riesgo en dejar de invertir recursos en beneficio de la comunidad universitaria</t>
  </si>
  <si>
    <t>Debilidades y falencias en las actividades de supervisión e interventoría</t>
  </si>
  <si>
    <t xml:space="preserve">Debilidades de control interno contable  </t>
  </si>
  <si>
    <t>Afectación en la consistencia entre las cifras presentadas en los estados financieros y los saldos reflejados en los libros de contabilidad y en las Notas a los Estados Financieros; así como el cumplimiento de los criterios definidos en el nuevo marco normativo</t>
  </si>
  <si>
    <t>Debilidades de control y seguimiento en el procedimiento para el registro de los hechos económicos relacionados con el pasivo pensional</t>
  </si>
  <si>
    <t>No permite la trazabilidad de los registros de cada tercero dada la incompletitud de los mismos, la imposibilidad de conocer el saldo real para cada uno de ellos, dificultando el seguimiento de los Organismos de Control.</t>
  </si>
  <si>
    <t>Debilidades en el control interno contable</t>
  </si>
  <si>
    <t>Dificultad en la interpretación de la información financiera suministrada a los usuarios de la misma y la revisión de los diferentes Organismos de Control</t>
  </si>
  <si>
    <t>Debilidades en la supervisión contractual y en los controles establecidos para el cierre presupuestal</t>
  </si>
  <si>
    <t>Riesgo de afectación a terceros en sus relaciones con el Estado o de someterse a litigios por incumplimiento de las obligaciones contraídas. El efecto contable es la subestimación de la cta 3110 resultado del ejercicio y sobrestimación de la cta 3109 resultados de vigencias anteriores por $8.160.430</t>
  </si>
  <si>
    <t>Debido a debilidades de control y falencias en las labores de planeación en la etapa precontractual</t>
  </si>
  <si>
    <t>Aplicación de normas derogadas induciendo a error en la aplicación de disposiciones generales y un riesgo de la falsa motivación para justificar la necesidad de contratar</t>
  </si>
  <si>
    <t>Deficiencias de control en el proceso de trámite de las peticiones que son impetradas en la UTP</t>
  </si>
  <si>
    <t>Desatención al usuario y un riesgo de aplicar el silencio administrativo</t>
  </si>
  <si>
    <t>En el diseño del formato participa y Gestion de Tecnologias Informaticas y Sistemas de Informacion</t>
  </si>
  <si>
    <t>HALLAZGO SUBSANADO  – La evidencia demuestra que se corrigió el hallazgo y por lo tanto se espera que no se repita.</t>
  </si>
  <si>
    <t xml:space="preserve">ACCION(ES) CUMPLIDA(S) </t>
  </si>
  <si>
    <t>ACCION(ES) PARCIALMENTE CUMPLIDA(S)</t>
  </si>
  <si>
    <t>ACCION(ES) NO CUMPLIDA(S)</t>
  </si>
  <si>
    <t>HALLAZGO PENDIENTE DE EVALUACION - Acciones no finalizadas, o acciones que siendo finalizadas, no se puede comprobar la efectividad en el periodo.</t>
  </si>
  <si>
    <t>Gestión de presupuesto</t>
  </si>
  <si>
    <t>Gestión de Presupuesto</t>
  </si>
  <si>
    <t>Jefe Financiera</t>
  </si>
  <si>
    <t>CONTROL DE PRORROGAS</t>
  </si>
  <si>
    <t>NUEVA FECHA FINAL</t>
  </si>
  <si>
    <t>Cantidad de semanas</t>
  </si>
  <si>
    <t>FECHAS INICIALES</t>
  </si>
  <si>
    <t>DATOS DE APROBACION</t>
  </si>
  <si>
    <t>PRIMERA PRORROGA</t>
  </si>
  <si>
    <t>COMITÉ INSTITUCIONAL DE CONTROL INTERNO: 
FECHA DE COMITÉ:
DOCUMENTO DE SOLICITUD DE PRORROGA:
FECHA:
JUSTIFICACION</t>
  </si>
  <si>
    <t>SEGUNDA PRORROGA</t>
  </si>
  <si>
    <t>TERCERA PRORROGA</t>
  </si>
  <si>
    <t>NUMERO DE PRORROGAS
APROBADAS</t>
  </si>
  <si>
    <t>07-2018</t>
  </si>
  <si>
    <t>Vicerrectoria Académica</t>
  </si>
  <si>
    <t>Directriz sobre el cumplimiento de las horas cátedra</t>
  </si>
  <si>
    <t xml:space="preserve">Conformar Comisión del Consejo Académico para estudiar el tema y proponer directriz </t>
  </si>
  <si>
    <t xml:space="preserve">Proponer borrador de directriz, teniendo en cuenta el estatuto docente, y el PEI </t>
  </si>
  <si>
    <t>Aprobar la Directriz</t>
  </si>
  <si>
    <t>Acta del Consejo Académico</t>
  </si>
  <si>
    <t xml:space="preserve">Socializar la directriz </t>
  </si>
  <si>
    <t>11-2018</t>
  </si>
  <si>
    <t>Implementacion de un control para la revision de los bienes por parte de los cuentadantes a través del aplicativo</t>
  </si>
  <si>
    <t>Almacen General</t>
  </si>
  <si>
    <t>Gestión de Tecnologías informáticas y sistemas de información</t>
  </si>
  <si>
    <t>Ajuste aplicativo</t>
  </si>
  <si>
    <t>Solicitar a GTISI la implementacion de un control de verficacion semestral para los cuentadantes de los bienes a través del aplicativo de Inventario (casilla de verificacion y campo de observaciones)</t>
  </si>
  <si>
    <t xml:space="preserve"> Desarrollar un modulo para validar elementos de cuentadantes</t>
  </si>
  <si>
    <t xml:space="preserve">Socializar a los cuentadantes del ajuste solicitando revision periodico de bienes corregido </t>
  </si>
  <si>
    <t>16-2018</t>
  </si>
  <si>
    <t xml:space="preserve">Formulación  de la  Politica de discapacidad UTP </t>
  </si>
  <si>
    <t>Adoptar la politica de Discapacidad mediante acto administrativo</t>
  </si>
  <si>
    <t>Vicerrectoría de Responsabilidad Social y Bienestar Universitario</t>
  </si>
  <si>
    <t>Acto administrativo</t>
  </si>
  <si>
    <t>Divulgar la politica</t>
  </si>
  <si>
    <t>Documentos</t>
  </si>
  <si>
    <t xml:space="preserve">Deficiencias de controles en la planeación del PDI de la Universidad, </t>
  </si>
  <si>
    <t>Debilidades en el control de inventarios y de compromiso por parte de los funcionarios de las distintas dependencias sobre el manejo de su cartera personal</t>
  </si>
  <si>
    <t xml:space="preserve">Debilidades en los mecanismos de control frente a la certificación de horas efectivamente laboradas, </t>
  </si>
  <si>
    <t xml:space="preserve"> Detrimento patrimonial por mayor valor pagado, cifra que asciende a $4.975.991 y dificultad en el control y seguimiento de la nómina. </t>
  </si>
  <si>
    <t>10-2018</t>
  </si>
  <si>
    <t>Generando sobrestimación en las cuentas.</t>
  </si>
  <si>
    <t xml:space="preserve">Ocasionando el riesgo de pérdida de activos. </t>
  </si>
  <si>
    <t>Pertenece al Plan de Mejoramiento 2019 sobre la vigencia 2018 (hallazgo 16).</t>
  </si>
  <si>
    <t xml:space="preserve">Los derechos de las personas en situación de discapacidad, no se manejen con la total equidad exigida por las normas que regulan la materia. </t>
  </si>
  <si>
    <t xml:space="preserve">Revisión del Manual de Politicas en relación a procedimiento establecido por la CGN con respecto al Deterioro de las Cuentas por Cobrar </t>
  </si>
  <si>
    <t>TOTAL HALLAZGOS SUBSANADOS</t>
  </si>
  <si>
    <t>TOTAL HALLAZGOS NO SUBSANADOS</t>
  </si>
  <si>
    <t>TOTAL</t>
  </si>
  <si>
    <t xml:space="preserve">Total </t>
  </si>
  <si>
    <t xml:space="preserve">HALLAZGOS CON ACCION CUMPLIDA </t>
  </si>
  <si>
    <t>HALLAZGOS CON ACCION PARCIALMENTE CUMPLIDA</t>
  </si>
  <si>
    <t>HALLAZGOS CON ACCION NO CUMPLIDA</t>
  </si>
  <si>
    <t>EVALUACION DE LOS HALLAZGOS RESPECTO A LAS ACCIONES</t>
  </si>
  <si>
    <r>
      <t xml:space="preserve">EFECTIVIDAD DEL PLAN
</t>
    </r>
    <r>
      <rPr>
        <sz val="7"/>
        <rFont val="Arial"/>
        <family val="2"/>
      </rPr>
      <t>(HALLAZGOS SUBSANADOS/ (HALLAZGOS SUBSANADOS + No SUBSANADOS)</t>
    </r>
  </si>
  <si>
    <t>HALLAZGO NO SUBSANADO / SUBSANADO PARCIALMENTE - La evidencia demuestra que el hallazgo puede repetirse, ya sea porque la corrección o la accion no se implemento (NO SUBSANADA)  o porque la acción debe completarse con una nueva acción (SUBSANADA PARCIAL)</t>
  </si>
  <si>
    <t>PARAMETROS</t>
  </si>
  <si>
    <t>ESTADO DE LAS ACCIONES REPORTE RESPONSABLES</t>
  </si>
  <si>
    <t>1. ESTADO DE LAS ACCIONES REPORTE RESPONSABLES</t>
  </si>
  <si>
    <t>1. EVALUACION DE LOS HALLAZGOS RESPECTO AL CUMPLIMIENTO DE LAS ACCIONES (CONTROL INTERNO)</t>
  </si>
  <si>
    <t>3. EVALUACION DE LOS HALLAZGOS RESPECTO A LA EFECTIVIDAD DE LAS ACCIONES (CONTROL INTERNO)</t>
  </si>
  <si>
    <t>3. EVALUACION DE LOS HALLAZGOS</t>
  </si>
  <si>
    <t>Convenciones segun cortes de seguimiento</t>
  </si>
  <si>
    <r>
      <t xml:space="preserve">OBSERVACION SOBRE CUMPLIMIENTO ACCION
</t>
    </r>
    <r>
      <rPr>
        <sz val="9"/>
        <color theme="0"/>
        <rFont val="Arial"/>
        <family val="2"/>
      </rPr>
      <t>(Justifique la calificacion asignada, de acuerdo a las evidencias obtenidas - cite evidencias)</t>
    </r>
  </si>
  <si>
    <t>EVALUACION DE CUMPLIMIENTO DE LA ACCION
(celda automatica, depende de la calificacion del cumplimiento de las actividades)</t>
  </si>
  <si>
    <t xml:space="preserve"> Revisión de las cuentas contables y presupuestales para el ingreso correspondiente a matriculas y programas de acceso y permanencia a la educación superior</t>
  </si>
  <si>
    <t>Realizar Reunión con el equipo financiero para validar las cuentas contables y las cuentas presupuestales</t>
  </si>
  <si>
    <t>Solicitar a Sistema Integral de Gestión la inclusión del instructivo</t>
  </si>
  <si>
    <t>Generar instructivo para la contabilización de los ingresos relacionados con matricula y programas de acceso y permanencia a la educación superior</t>
  </si>
  <si>
    <t>Socializar propuesta de instructivo con la Vicerrectoría Adminstrativa y Financiera y GTI&amp;SI para su validación</t>
  </si>
  <si>
    <t>Programar  reunión con los responsables del manejo del Sistema PQRS sobre la importancia de dar respuesta oportuna al ciudadano</t>
  </si>
  <si>
    <t>Debilidades en la conciliación entre los módulos de contabilidad y cartera y de control interno contable</t>
  </si>
  <si>
    <t>Debilidades de control interno contable</t>
  </si>
  <si>
    <t>Falta de seguimiento y monitoreo al proceso de matrícula financiera y de control al aplicativo de Matrícula-Programación y Software Financiero</t>
  </si>
  <si>
    <t xml:space="preserve"> Implementación de un procedimiento para la solicitud de la información que conforma las Notas a la Información Contable.</t>
  </si>
  <si>
    <t>Actualización de perfiles de usuarios del software de liquidación de matrícula</t>
  </si>
  <si>
    <t xml:space="preserve">Remitir memorando a Gestión de Tecnologías Informáticas y Sistemas de Información </t>
  </si>
  <si>
    <t>Definir el proceso de administración de usuarios y autorizaciones para el aplicativo de liquidacion de matrícula, además de realizar los ajustes respectivos dicho aplicativo</t>
  </si>
  <si>
    <t>Ajuste a Sistemas de Información</t>
  </si>
  <si>
    <t>Pertenece al Plan de Mejoramiento 2019 sobre la vigencia 2018 (hallazgo 12). Se incorpora dado que la accion formulada para 2019 no fue efectiva, por lo cual se adopta una nueva accion.</t>
  </si>
  <si>
    <t>Pertenece al Plan de Mejoramiento 2019 sobre la vigencia 2018 (hallazgo 13).  Se incorpora dado que en el informe de auditoria de la CGR se informa que la accion formulada para 2019 no fue efectiva, por lo cual se adopta una nueva accion</t>
  </si>
  <si>
    <t>Pertenece al Plan de Mejoramiento 2019 sobre la vigencia 2018 (hallazgo 14). Aunque la accion formulada ya fue cumplida a 30 de junio de 2020, se incorpora al Plan 2020 dado que la accion formulada para 2019 no fue efectiva, por lo cual se adopta una nueva accion.</t>
  </si>
  <si>
    <t>Pertenece al Plan de Mejoramiento 2019 sobre la vigencia 2018 (hallazgo 15). Esta actividad fue reportada como cumplida en el informe de corte a 30 de junio de 2020; quedando pendiente la verificación del nuevo  rol de consulta para la liquidación de matricula financiera, por tal motivo se incorpora en el plan de mejoramiento 2020</t>
  </si>
  <si>
    <t>12-2018</t>
  </si>
  <si>
    <t>13-2018</t>
  </si>
  <si>
    <t>14-2018</t>
  </si>
  <si>
    <t>15-2018</t>
  </si>
  <si>
    <t>Establecer el Procedimiento de requerida acuerdo a los parametros establecidos en la norma de la CGN,  para conformación de las Notas de la Información contable.</t>
  </si>
  <si>
    <r>
      <rPr>
        <b/>
        <sz val="9"/>
        <rFont val="Calibri"/>
        <family val="2"/>
        <scheme val="minor"/>
      </rPr>
      <t xml:space="preserve">HALLAZGO 12.  NOTAS A LA INFORMACIÓN CONTABLE </t>
    </r>
    <r>
      <rPr>
        <sz val="9"/>
        <rFont val="Calibri"/>
        <family val="2"/>
        <scheme val="minor"/>
      </rPr>
      <t xml:space="preserve">
La UTP a 31 de diciembre del 2018, omitió revelar en las notas explicativas a la información contable en: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t>
    </r>
  </si>
  <si>
    <r>
      <rPr>
        <b/>
        <sz val="9"/>
        <rFont val="Calibri"/>
        <family val="2"/>
        <scheme val="minor"/>
      </rPr>
      <t>HALLAZGO 13.  CONCILIACIÓN CARTERA</t>
    </r>
    <r>
      <rPr>
        <sz val="9"/>
        <rFont val="Calibri"/>
        <family val="2"/>
        <scheme val="minor"/>
      </rPr>
      <t xml:space="preserve">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t>
    </r>
  </si>
  <si>
    <t>Dificultades en las actividades de seguimiento y control a las cuentas por cobrar de la Universidad Tecnológica de Pereira-UTP.</t>
  </si>
  <si>
    <t>Incumplimiento de la normatividad y deficiencias en la información financiera suministrada a los usuarios de la misma.</t>
  </si>
  <si>
    <r>
      <rPr>
        <b/>
        <sz val="9"/>
        <rFont val="Calibri"/>
        <family val="2"/>
        <scheme val="minor"/>
      </rPr>
      <t>HALLAZGO 14.  BENEFICIOS POSEMPLEO</t>
    </r>
    <r>
      <rPr>
        <sz val="9"/>
        <rFont val="Calibri"/>
        <family val="2"/>
        <scheme val="minor"/>
      </rPr>
      <t xml:space="preserve">
La UTP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t>
    </r>
  </si>
  <si>
    <t>Afecta la comprensibilidad de la información financiera e incumplimiento de los criterios definidos en el nuevo marco normativo.</t>
  </si>
  <si>
    <r>
      <rPr>
        <b/>
        <sz val="9"/>
        <rFont val="Calibri"/>
        <family val="2"/>
        <scheme val="minor"/>
      </rPr>
      <t xml:space="preserve">HALLAZGO 15.  LIQUIDACIÓN MATRÍCULA </t>
    </r>
    <r>
      <rPr>
        <sz val="9"/>
        <rFont val="Calibri"/>
        <family val="2"/>
        <scheme val="minor"/>
      </rPr>
      <t xml:space="preserve">
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t>
    </r>
  </si>
  <si>
    <t>Dificultad para la vigilancia de los organismos de control</t>
  </si>
  <si>
    <t>12 de agosto de 2020</t>
  </si>
  <si>
    <t>8</t>
  </si>
  <si>
    <r>
      <rPr>
        <b/>
        <sz val="9"/>
        <rFont val="Calibri"/>
        <family val="2"/>
      </rPr>
      <t>HALLAZGO 16. PERSONAS EN CONDICIÓN DE DISCAPACIDAD</t>
    </r>
    <r>
      <rPr>
        <sz val="9"/>
        <rFont val="Calibri"/>
        <family val="2"/>
      </rPr>
      <t xml:space="preserve">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t>
    </r>
  </si>
  <si>
    <r>
      <rPr>
        <b/>
        <sz val="9"/>
        <rFont val="Calibri"/>
        <family val="2"/>
      </rPr>
      <t xml:space="preserve">HALLAZGO 10.  BIENES DEVOLUTIVOS </t>
    </r>
    <r>
      <rPr>
        <sz val="9"/>
        <rFont val="Calibri"/>
        <family val="2"/>
      </rPr>
      <t xml:space="preserve">
La Universidad Tecnológica de Pereira a diciembre 31 de 2018, no dio baja, ni reconoció deterioro de 2 activos por $137.066.446, los cuales se encuentran fuera de uso desde años anteriores, evidenciado mediante inspección física (Tabla 13 Informe de Auditoria sobre vigencia 2018)</t>
    </r>
  </si>
  <si>
    <r>
      <rPr>
        <b/>
        <sz val="9"/>
        <rFont val="Calibri"/>
        <family val="2"/>
      </rPr>
      <t>HALLAZGO 11.  PLACA BIENES MUEBLES</t>
    </r>
    <r>
      <rPr>
        <sz val="9"/>
        <rFont val="Calibri"/>
        <family val="2"/>
      </rPr>
      <t xml:space="preserve">
En la  Universidad Tecnológica de Pereira, el equipo auditor realizó inspección física a los bienes muebles, evidenciando 5 bienes sin placa, incumpliendo las normas antes citadas (Ver Tabla 14 Informe de Auditoria sobre vigencia 2018)
</t>
    </r>
  </si>
  <si>
    <r>
      <rPr>
        <b/>
        <sz val="9"/>
        <rFont val="Calibri"/>
        <family val="2"/>
      </rPr>
      <t xml:space="preserve">HALLAZGO 7.  HORAS CÁTEDRA </t>
    </r>
    <r>
      <rPr>
        <sz val="9"/>
        <rFont val="Calibri"/>
        <family val="2"/>
      </rPr>
      <t xml:space="preserve">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t>
    </r>
  </si>
  <si>
    <t>FI: 12-08-2020
FF: 30-09-2020</t>
  </si>
  <si>
    <t>FI: 21-07-2020
FF: 30-09-2020</t>
  </si>
  <si>
    <t>COMITÉ INSTITUCIONAL DE CONTROL INTERNO: 17
FECHA DE COMITÉ: 28/09/2020
DOCUMENTO DE SOLICITUD DE PRORROGA: 02-131-719 
FECHA: 23/09/2020
JUSTIFICACION:  Dentro de este periodo y debido a agenda de todas las personas que participarían de la reunión, se programó para el 24 septiembre 2020 y se invitó a dicha reunión a todos los responsables del manejo del Sistema PQRS y su apoyo dentro de la dependencia, a través de memorando 02-131-657 del 7 septiembre 2020.  Sin embargo, el 22 septiembre 2020, programaron desde Secretaría General para el 24 septiembre 2020, sesión extraordinaria del Consejo Académico y para el 29 de septiembre 2020, Consejo Superior del mes de septiembre, por lo que no se pudo programar nuevamente la reunión por las agendas de los directivos.</t>
  </si>
  <si>
    <t>COMITÉ INSTITUCIONAL DE CONTROL INTERNO: 15
FECHA DE COMITÉ:  01/09/2020
DOCUMENTO DE SOLICITUD DE PRORROGA: 02-1333-32
FECHA: 26/08/2020
JUSTIFICACION: La actividad depende de que GTISI  Sistemas implemente el Módulo de Revisión de Bienes, el cual todavía no se ha entregado</t>
  </si>
  <si>
    <t>UNA</t>
  </si>
  <si>
    <t>INFORME DE REVISIÓN AVANCE DEL PLAN DE MEJORAMIENTO 2020 (Vig. 2019)</t>
  </si>
  <si>
    <r>
      <t xml:space="preserve">Reporte Septiembre/2019 (02-1333-45): </t>
    </r>
    <r>
      <rPr>
        <sz val="10"/>
        <rFont val="Arial"/>
        <family val="2"/>
      </rPr>
      <t xml:space="preserve">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
</t>
    </r>
  </si>
  <si>
    <r>
      <t>Reporte Septiembre/2019 (02-1333-45):</t>
    </r>
    <r>
      <rPr>
        <sz val="10"/>
        <rFont val="Arial"/>
        <family val="2"/>
      </rPr>
      <t xml:space="preserve"> Reporta la actividad cumplida, por lo cual Control Interno  le solicita el soporte documental de la solicitud a GTIySI y mediante memorando 02-1332-2 del 28 de octubre de 2019 de Publicaciones, nos envia copia del oficio 01-1333-30 del 26 de junio de 2019; donde hace la solicitud a GTIySI sobre estudiar la posibilidad de desarrollar un aplicativo a través del cual los funcionarios de la Universidad con inventario a cargo puedan controlar y registrar semestralmente los datos de los bienes a su cargo</t>
    </r>
  </si>
  <si>
    <r>
      <t xml:space="preserve">Reporte Junio/2020 (02-135-47): </t>
    </r>
    <r>
      <rPr>
        <sz val="10"/>
        <rFont val="Arial"/>
        <family val="2"/>
      </rPr>
      <t>Se creo un nuevo rol de consulta para la liquidación de matricula financiera como se describe en el adjunto Pantallazo consulta matricula financiera.docx</t>
    </r>
  </si>
  <si>
    <r>
      <rPr>
        <b/>
        <sz val="10"/>
        <rFont val="Arial"/>
        <family val="2"/>
      </rPr>
      <t>Reporte Septiembre/2020 (02-131-752):</t>
    </r>
    <r>
      <rPr>
        <sz val="10"/>
        <rFont val="Arial"/>
        <family val="2"/>
      </rPr>
      <t xml:space="preserve"> Se realizó el cambio en el Instructivo para la Atención de las PQRS (versión 8 del 20/08/20).</t>
    </r>
  </si>
  <si>
    <r>
      <rPr>
        <b/>
        <sz val="10"/>
        <rFont val="Arial"/>
        <family val="2"/>
      </rPr>
      <t>Reporte Septiembre/2020 (02-131-752):</t>
    </r>
    <r>
      <rPr>
        <sz val="10"/>
        <rFont val="Arial"/>
        <family val="2"/>
      </rPr>
      <t xml:space="preserve"> Se recuerda  el tiempo de repuesta a los responsables del manejo de las PQRS mediante:   
1. Tip, enviado por correo electrónico el 14/07/20.
2. Publicación del Tip en página web el 21/07/20
3. Memorando 02-131-529 del 30/07/20. </t>
    </r>
  </si>
  <si>
    <r>
      <rPr>
        <b/>
        <sz val="10"/>
        <rFont val="Arial"/>
        <family val="2"/>
      </rPr>
      <t>Reporte Septiembre/2020 (02-134-221):</t>
    </r>
    <r>
      <rPr>
        <sz val="10"/>
        <rFont val="Arial"/>
        <family val="2"/>
      </rPr>
      <t xml:space="preserve"> Acta de Reunión con asesores de la Contaduría General de la Nación, realizada el 4 de Mayo de 2020 y Concepto CGN 20201000001361 Pasivo pensional y concurrencia a cargo de la Nación</t>
    </r>
  </si>
  <si>
    <r>
      <rPr>
        <b/>
        <sz val="10"/>
        <rFont val="Arial"/>
        <family val="2"/>
      </rPr>
      <t>Reporte Septiembre/2020 (02-134-221):</t>
    </r>
    <r>
      <rPr>
        <sz val="10"/>
        <rFont val="Arial"/>
        <family val="2"/>
      </rPr>
      <t xml:space="preserve"> Acta de Reunión realizada con funcionarios de la Subdirección Financiera del Ministerio de Educación el 15 de Julio de 2020 y correo remisorio con los ajustes contables por parte del MEN y la UTP.</t>
    </r>
  </si>
  <si>
    <r>
      <rPr>
        <b/>
        <sz val="10"/>
        <rFont val="Arial"/>
        <family val="2"/>
      </rPr>
      <t>Reporte Septiembre/2020 (02-134-221):</t>
    </r>
    <r>
      <rPr>
        <sz val="10"/>
        <rFont val="Arial"/>
        <family val="2"/>
      </rPr>
      <t xml:space="preserve"> Auxiliar de la Subcuenta:190408-Derechos por concurrencia para el pago de pensiones, evidenciando los ajustes contables para corregir el Hallazgo 6.</t>
    </r>
  </si>
  <si>
    <r>
      <rPr>
        <b/>
        <sz val="10"/>
        <rFont val="Arial"/>
        <family val="2"/>
      </rPr>
      <t>Reporte Septiembre/2020 (02-113-225):</t>
    </r>
    <r>
      <rPr>
        <sz val="10"/>
        <rFont val="Arial"/>
        <family val="2"/>
      </rPr>
      <t xml:space="preserve"> Se han realizado 4 sesiones de trabajo con el equipo de Gestión Estratégica del Campus, donde se ha venido realizando el análisis de los pasos para realizar el prodecimiento de  de  control y seguimiento para la planeación y ejecución de contratos de diseño, obra y adecuaciones, para lo cual a la fecha se cuenta con una presentación preliminar y unas listas de chequeo que estan en revisión, consolidación y depuración. Nota: aunque ya se realizaron las 4 reuniones se esta afinando el soporte de la actividad </t>
    </r>
  </si>
  <si>
    <r>
      <rPr>
        <b/>
        <sz val="10"/>
        <rFont val="Arial"/>
        <family val="2"/>
      </rPr>
      <t>Reporte Septiembre/2020 (02-113-225):</t>
    </r>
    <r>
      <rPr>
        <sz val="10"/>
        <rFont val="Arial"/>
        <family val="2"/>
      </rPr>
      <t xml:space="preserve"> Se realizó reunión con el equipo de trabajo donde se priorizaron las normas técnicas relacionadas con los diseños de insfraestructura física que haran parte del banco de normas</t>
    </r>
  </si>
  <si>
    <r>
      <rPr>
        <b/>
        <sz val="10"/>
        <rFont val="Arial"/>
        <family val="2"/>
      </rPr>
      <t>Reporte Septiembre/2020 (02-1343-97):</t>
    </r>
    <r>
      <rPr>
        <sz val="10"/>
        <rFont val="Arial"/>
        <family val="2"/>
      </rPr>
      <t xml:space="preserve"> Se anexa Ajuste Actulización Plan de Activos: traslado a la Cta Contable  190401 Efectivo y Equivalente al Efectivo y 11000628 Bancolombia, lo relacionado con el pago de los rendimientos del PAGO TES TFIT16240724 VALOR 1,200,000,000.00 0.00 
NOMINAL $ 12,000,000,000 y rendimientos  TES TFIT16240724 VALOR 1,000,000,000.00 0.00 
NOMINAL $ 10,000,000,000. </t>
    </r>
  </si>
  <si>
    <r>
      <t>Reporte Septiembre/2020 (02-1343-97):</t>
    </r>
    <r>
      <rPr>
        <sz val="10"/>
        <rFont val="Arial"/>
        <family val="2"/>
      </rPr>
      <t xml:space="preserve"> Se Anexa Ajuste de la Cuenta Contable 2460 Setencias y Conciliaciones Nota de Contabilidad No. 768 del 12/06/2020  del Sr. Fabio Vera Grisales</t>
    </r>
  </si>
  <si>
    <r>
      <rPr>
        <b/>
        <sz val="10"/>
        <rFont val="Arial"/>
        <family val="2"/>
      </rPr>
      <t>Reporte Septiembre/2020 (02-1343-97):</t>
    </r>
    <r>
      <rPr>
        <sz val="10"/>
        <rFont val="Arial"/>
        <family val="2"/>
      </rPr>
      <t xml:space="preserve"> Se anexa Acta No. 3 del 13/08/2020. Donde se reviso y se plantearon los ajustes al Procedimiento No 134-CTB-13 Cierre Contable y se Anexa Borrador Procedimiento con las modificaciones. </t>
    </r>
  </si>
  <si>
    <r>
      <t xml:space="preserve">Reporte Septiembre/2020 (02-1343-97): </t>
    </r>
    <r>
      <rPr>
        <sz val="10"/>
        <rFont val="Arial"/>
        <family val="2"/>
      </rPr>
      <t xml:space="preserve">Se anexa Acta No. 3 del 13/08/2020. Donde se reviso y se plantearon los ajustes al Procedimiento No 134-CTB-13 Cierre Contable y se Anexa Borrador Procedimiento con las modificaciones. </t>
    </r>
  </si>
  <si>
    <r>
      <t xml:space="preserve">Reporte septiembre/2020 (02-136-347): </t>
    </r>
    <r>
      <rPr>
        <sz val="10"/>
        <rFont val="Arial"/>
        <family val="2"/>
      </rPr>
      <t>Se adoptó la politica institucional de inclusión con enfoque de discapacidad; bajo acto administrativo "Acuerdo 26 del 9 de junio de 2020"</t>
    </r>
  </si>
  <si>
    <r>
      <rPr>
        <b/>
        <sz val="10"/>
        <rFont val="Arial"/>
        <family val="2"/>
      </rPr>
      <t xml:space="preserve">Reporte septiembre/2020 (02-136-347): </t>
    </r>
    <r>
      <rPr>
        <sz val="10"/>
        <rFont val="Arial"/>
        <family val="2"/>
      </rPr>
      <t>Con corte al mes de septiembre, se han realizado procesos de divulgación de la politica; se adjunta informe emitido por la profesional Martha Lucia Villabona con los respectivos soportes y datos relacionados.</t>
    </r>
  </si>
  <si>
    <r>
      <t xml:space="preserve">Reporte Septiembre/2020 (02-135-97): </t>
    </r>
    <r>
      <rPr>
        <sz val="10"/>
        <rFont val="Arial"/>
        <family val="2"/>
      </rPr>
      <t>Se hace entrega parcial al área de Inventarios para que se realicen las pruebas respectivas y hagan las sugerencias de cambio respectivas. Se adjunto formato Lista de verificación de procesos y tereas.</t>
    </r>
  </si>
  <si>
    <r>
      <rPr>
        <b/>
        <sz val="10"/>
        <rFont val="Arial"/>
        <family val="2"/>
      </rPr>
      <t>Reporte Septiembre/2020 (02-1343-97):</t>
    </r>
    <r>
      <rPr>
        <sz val="10"/>
        <rFont val="Arial"/>
        <family val="2"/>
      </rPr>
      <t xml:space="preserve"> Se anexa Acta No 1 del 06/08/2020: Objetivo del Acta Proceso de contabilización de los ingresos recibidos por concurrencia pensional y de los rendimientos generados de las inversiones que respaldan el plan de activos para el pasivo pensional.</t>
    </r>
  </si>
  <si>
    <r>
      <t xml:space="preserve">CUMPLIMIENTO ACTIVIDAD
</t>
    </r>
    <r>
      <rPr>
        <sz val="8"/>
        <color theme="0"/>
        <rFont val="Arial"/>
        <family val="2"/>
      </rPr>
      <t>(Selecciones la opcion, según la evaluacion de cumplimiento)</t>
    </r>
  </si>
  <si>
    <t>Se adoptó la política, mediante Acuerdo del Consejo Superior Universitario y se realizó la socialización de esta; como soportes documentales se tiene el Acuerdo 26 del 09 de junio de 2020 y el documento que soporta las actividades virtuales realizadas (3), debido al COVID 19.</t>
  </si>
  <si>
    <r>
      <rPr>
        <b/>
        <sz val="10"/>
        <rFont val="Arial"/>
        <family val="2"/>
      </rPr>
      <t>Reporte Septiembre/2020 (Correo electronico 07/10/2020):</t>
    </r>
    <r>
      <rPr>
        <sz val="10"/>
        <rFont val="Arial"/>
        <family val="2"/>
      </rPr>
      <t xml:space="preserve"> Se anexa propuesta de de actualización de estatuto y presentación</t>
    </r>
  </si>
  <si>
    <r>
      <rPr>
        <b/>
        <sz val="10"/>
        <rFont val="Arial"/>
        <family val="2"/>
      </rPr>
      <t>Reporte Septiembre/2020 (Correo electronico 07/10/2020)</t>
    </r>
    <r>
      <rPr>
        <sz val="10"/>
        <rFont val="Arial"/>
        <family val="2"/>
      </rPr>
      <t xml:space="preserve">: La reunión se realizó el 14 de septiembre de manera virtual con la Vice Adminsitrativa, el equipo de gestión financiera en la cual se hizo la presentación y se revisó la propuesta de acuerdo de modificación del Estatuto Presupuestal y al Manual de programación presupeustal, en esta reunión se avaló ser presentada al comité directivo (Se anexa solicitud realizada por correo a la Dra Liliana y la inclusión de este tema en el orden del día del comite directivo).
Se realizó presentación al Comité Directivo el 22 de septiembre y ese mismo día se aprobó contiuar con el trámite ante el Consejo Superior, para lo cual se remitieron los docuemntos a la Dra liliana a través de correo electrónico (Se anexa correo con el envío de la información).
Nota de acuerdo con el correo enviado por la Dra Liliana no existe acta del comite directivo que soporte la Unidad de medida, por tanto solicito que la unidad de medida sea el soporte del orden del día remitido por la Secretaria General </t>
    </r>
  </si>
  <si>
    <r>
      <rPr>
        <b/>
        <sz val="10"/>
        <rFont val="Arial"/>
        <family val="2"/>
      </rPr>
      <t>Reporte Septiembre/2020 (Correo electronico 07/10/2020)</t>
    </r>
    <r>
      <rPr>
        <sz val="10"/>
        <rFont val="Arial"/>
        <family val="2"/>
      </rPr>
      <t xml:space="preserve">: El 23 de junio a través de correo electrónico se envió propuesta de procedimiento para la revisión por parte de la Secretaria General, Jurídica, Control Interno, Jefe Financiero y Lider de Gestión Contable </t>
    </r>
  </si>
  <si>
    <t>Se realizaron las dos actividades propuestas, se anexan los documentos soportes de la reunión y el ajuste realizado a la actualización del plan de activos cuenta contable 190401 Efectivo y Equivalnete al Efectivo y la cuenta 11000624 Bancolombia</t>
  </si>
  <si>
    <t>Se realizaron las dos reuniones de consulta previstas con la Contaduría General de la Nación y con el Ministerio de Educación Nacional y el ajuste de la Subcuenta:190408-Derechos por concurrencia para el pago de pensiones</t>
  </si>
  <si>
    <t>Se tiene adoptada la política y en PDI 2020 -2028 se han incorporado proyectos que involucran las personas en condición de discapacidad</t>
  </si>
  <si>
    <t>Acciones finalizadas, se actualizó el procedimiento 134-TRS-10 versión 6 y se actualizó el software con los perfiles de ususarios y se creo un nuevo rol de consulta de matricula</t>
  </si>
  <si>
    <t>Las accion de actualizar el procedimiento  planteada para subsanar el hallazgo no fue  efeciva, porque Control Interno al realizar una auditoria a este proceso de matriculas encontró varias observaciones, lo que nos indica que el proceso debe mejorar sus puntos de control.
No se ha evaluado las relacionadas con los ajustes del sistema de informacion y el rol de consulta.</t>
  </si>
  <si>
    <t xml:space="preserve">Informe de Auditoria de Control Interno de la vigencia 2019. </t>
  </si>
  <si>
    <t>Plan de Desarrollo Institucional 2020-2028</t>
  </si>
  <si>
    <r>
      <t xml:space="preserve">Reporte Septiembre/2020 (02-114-320):  </t>
    </r>
    <r>
      <rPr>
        <sz val="10"/>
        <rFont val="Arial"/>
        <family val="2"/>
      </rPr>
      <t>Mediante memorando 02-114-247 del 10 de agosto del 2020, se informò la accion de mejora a Gestion Contable, en el entendido de que la Oficina Juridica comunicarà la actualizacion de la provision contable, cuando exista acuerdo conciliatorio dentro del proceso judicial.</t>
    </r>
  </si>
  <si>
    <t xml:space="preserve">Pertenece al Plan de Mejoramiento 2019 sobre la vigencia 2018 (hallazgo 07).   Las actividades relacionadas con la accion de mejoramiento "Ajuste y divulgación del procedimiento para la certificación de horas catedra y sobrecarga" fueron reportadas como cumplidas en el informe de corte a 30 de junio de 2020.
</t>
  </si>
  <si>
    <t>Se solicitó prorroga (memo 02-134-286, del 03 de diciembre de 2020) para cambiar la fecha de finalización de las actividades 1-2 y3 para el 31/03/21 - 30/04/21 -31/05/21 respectivamentey esta fue apropada en Comité ICI No. 20  del 07/12/20 e informado por Control Interno con memorando No. 02-1115-440 del 07 de diciembre de 2020.</t>
  </si>
  <si>
    <r>
      <rPr>
        <b/>
        <sz val="10"/>
        <rFont val="Arial"/>
        <family val="2"/>
      </rPr>
      <t>Reporte Septiembre/2020 (Correo electronico 07/10/2020):</t>
    </r>
    <r>
      <rPr>
        <sz val="10"/>
        <rFont val="Arial"/>
        <family val="2"/>
      </rPr>
      <t xml:space="preserve"> Se anexa propuesta de procedimiento </t>
    </r>
  </si>
  <si>
    <t>Se solicitó prorroga (memo 02-113-263, del 01 de diciembre de 2020) para cambiar la fecha de finalización de la actividad para el 30/04/21 y esta fue apropada en Comité ICI No. 20  del 07/12/20 e informado por Control Interno con memorando 02-1115-441 del 07 de diciembre de 2020</t>
  </si>
  <si>
    <t>Se solicitó prorroga (memo 01-131-719 del 23/09/20) para cambiar la fecha de finlaización para el 30/11/20 y esta fue apropada en Comité del 28/09/20 (ver acta No. 17 de 2020),  e informado por Control Interno con memorando 02-1115-361 del 29/09/20.</t>
  </si>
  <si>
    <t>Pertenece al Plan de Mejoramiento 2019 sobre la vigencia 2018 (hallazgo 07).   Las actividades relacionadas con la accion de mejoramiento "Ajuste y divulgación del procedimiento para la certificación de horas catedra y sobrecarga" fueron reportadas como cumplidas en el informe de corte a 30 de junio de 2020.
Se solicitó prorroga (memorandos No. 02-131-885 del 12 de noviembre de 2020, No. 02-131-888 del 17 de noviembre de 2020 y No. 02-131-889 del 18 de noviembre de 2020) para cambiar la fecha de finlaización para el 31/03/21 y esta fue apropada en Comité ICI del 24/11/20 (ver acta No. 19) e informado por Control Interno con memorando 02-1115-431 del 27/11/20.</t>
  </si>
  <si>
    <t>Pertenece al Plan de Mejoramiento 2019 sobre la vigencia 2018 (hallazgo 07).   Las actividades relacionadas con la accion de mejoramiento "Ajuste y divulgación del procedimiento para la certificación de horas catedra y sobrecarga" fueron reportadas como cumplidas en el informe de corte a 30 de junio de 2020.
Se solicitó prorroga (memorandos No. 02-131-885 del 12 de noviembre de 2020, No. 02-131-888 del 17 de noviembre de 2020 y No. 02-131-889 del 18 de noviembre de 2020) para cambiar la fecha de finlaización para el 31/05/21 y esta fue apropada en Comité ICI del 24/11/20 (ver acta No. 19) e informado por Control Interno con memorando 02-1115-431 del 27/11/20.</t>
  </si>
  <si>
    <t>Pertenece al Plan de Mejoramiento 2019 sobre la vigencia 2018 (hallazgo 10).   Las actividades relacionadas con la accion de mejoramiento "Ajuste de la Vista del aplicativo Inventario (SI) con el fin de adicionar campos de informacion sobre marca, serial y modelo",  "Visitas aleatorias con el fin de verificar la existencia y las condiciones de los bienes a cargo de los cuentadantes"y "Elaboración de Manual para el manejo de bienes muebles en la Universidad Tecnólogica de Pereira" fueron reportadas como cumplidas en el informe de corte a 30 de junio de 2021.
Se solicitó prorroga (memorando No. 02-1333-32 del 26 de agosto de 2020), para cambiar la fecha de finalización de la actividad No. 3 para el 25/02/21 y esta fue apropada en Comité ICI del 01/09/20 (ver acta No. 15) e informado por Control Interno con memorando 02-1115-318 del 02/09/20.</t>
  </si>
  <si>
    <t>Pertenece al Plan de Mejoramiento 2019 sobre la vigencia 2018 (hallazgo 11).   Las actividades relacionadas con la accion de mejoramiento "Ajuste de la Vista del aplicativo Inventario (SI) con el fin de adicionar campos de informacion sobre marca, serial y modelo",  "Visitas aleatorias con el fin de verificar la existencia y las condiciones de los bienes a cargo de los cuentadantes"y "Elaboración de Manual para el manejo de bienes muebles en la Universidad Tecnólogica de Pereira" fueron reportadas como cumplidas en el informe de corte a 30 de junio de 2022.
Se solicitó prorroga (memorando No. 02-1333-32 del 26 de agosto de 2020), para cambiar la fecha de finalización de la actividad No. 3 para el 25/02/21 y esta fue apropada en Comité ICI del 01/09/20 (ver acta No. 15) e informado por Control Interno con memorando 02-1115-318 del 02/09/20.</t>
  </si>
  <si>
    <r>
      <rPr>
        <b/>
        <sz val="10"/>
        <rFont val="Arial"/>
        <family val="2"/>
      </rPr>
      <t>Reporte Diciembre/2020 (02-113-277):</t>
    </r>
    <r>
      <rPr>
        <sz val="10"/>
        <rFont val="Arial"/>
        <family val="2"/>
      </rPr>
      <t xml:space="preserve"> Se cuenta con el formato del Banco de normas técnicas relacionadas con diseños de infraestructura física </t>
    </r>
  </si>
  <si>
    <r>
      <t>Reporte Diciembre/2020 (02-1343-3 de 2021):</t>
    </r>
    <r>
      <rPr>
        <sz val="10"/>
        <rFont val="Arial"/>
        <family val="2"/>
      </rPr>
      <t xml:space="preserve"> Para la presente actividad se realizaron reuniones de trabajo con el equipo de gestión contable, se tuvo contacto con el sistema integral de gestión para la actualización de los procediimientos y se anexa procedimiento actualizado.
Anexo 1- Hallazgo 4- Amort Act Intang- Parte 1-Acta 1 reunión de trabajo
Anexo 1- Hallazgo 4- Amort. Act. Intang- parte 2 correo al sistema integral de gestión
Anexo 1- Hallazgo 4- Amort. Act. Intang- parte 3 -  formato 134-CTB-02 V5 Actualización de la depreciación, amortización y ajustes contables.pdf
</t>
    </r>
  </si>
  <si>
    <r>
      <t xml:space="preserve">Reporte Diciembre/2020 (02-1343-3 de 2021): </t>
    </r>
    <r>
      <rPr>
        <sz val="10"/>
        <rFont val="Arial"/>
        <family val="2"/>
      </rPr>
      <t xml:space="preserve">Para la presente actividad se tuvo reunión con el area GTISI donde se trató para el control de activos intangibles, y se anexa dicho formato.
Anexo 2- Hallazgo 4- Amort Act Intang- Parte 2-Acta 1 reunión de trabajo aprobacion formato intangibles
Anexo 2- Hallazgo 4- Amort. Act. Intang- parte 1 formato para intangibles con vidas útiles a nov 2020
Anexo 2- Hallazgo 4- Amort. Act. Intang- Parte 3-Conclusiones reunion del dia 14 de diciembre en atencion al plan de mejoramiento </t>
    </r>
  </si>
  <si>
    <r>
      <t xml:space="preserve">Reporte Diciembre/2020 (02-1343-3 de 2021): </t>
    </r>
    <r>
      <rPr>
        <sz val="10"/>
        <rFont val="Arial"/>
        <family val="2"/>
      </rPr>
      <t>Para la presente actividad se adjunta auxiliar de los ajustes realizados. 
Anexo 3- Hallazgo 4- Amort. Act. Intang- Auxiliar cuenta 1970</t>
    </r>
  </si>
  <si>
    <r>
      <rPr>
        <b/>
        <sz val="10"/>
        <rFont val="Arial"/>
        <family val="2"/>
      </rPr>
      <t>Reporte Diciembre/2020 (02-1343-3 de 2021):</t>
    </r>
    <r>
      <rPr>
        <sz val="10"/>
        <rFont val="Arial"/>
        <family val="2"/>
      </rPr>
      <t xml:space="preserve"> Para esta actividad, se realizaron las reuniones pertinentes, se adjuntas actas.
Anexo 1- Hallazgo 9- Costos de Financiación-Parte 1- Acta 4 AFINYT SAS
Anexo 1- Hallazgo 9- Costos de Financiación-Parte 2- Acta 4 AFINYT SAS
Anexo 1- Hallazgo 9- Costos de Financiación-Parte 3- correos actas de reunión AFINYT SAS</t>
    </r>
  </si>
  <si>
    <r>
      <t xml:space="preserve">Reporte Diciembre/2020 (02-1343-3 de 2021): </t>
    </r>
    <r>
      <rPr>
        <sz val="10"/>
        <rFont val="Arial"/>
        <family val="2"/>
      </rPr>
      <t>Para esta actividad se efectuó la reunión con la oficina de planeación donde se revisó y aprovó el formato.
Anexo 2- Hallazgo 9- Costos de Financiación- Acta Reunión de trabajo</t>
    </r>
  </si>
  <si>
    <r>
      <t xml:space="preserve">Reporte Diciembre/2020 (02-1343-3 de 2021): </t>
    </r>
    <r>
      <rPr>
        <sz val="10"/>
        <rFont val="Arial"/>
        <family val="2"/>
      </rPr>
      <t>Para la presente actividad se adjuntan los auxiliares de los ajustes realizados.
Anexo 3- Hallazgo 9- Costos de Financiación-Parte 1- Nota Contabilidad 49
Anexo 3- Hallazgo 9- Costos de Financiación-Parte 2- Nota Contabilidad 237
Anexo 3- Hallazgo 9- Costos de Financiación-Parte 3- Nota Contabilidad 558</t>
    </r>
  </si>
  <si>
    <r>
      <t xml:space="preserve">Reporte Diciembre/2020 (02-1343-3 de 2021): </t>
    </r>
    <r>
      <rPr>
        <sz val="10"/>
        <rFont val="Arial"/>
        <family val="2"/>
      </rPr>
      <t>Para la presente actividad se anexa el procedimiento con las modificaciones pertinentes. 
Anexo 1- Hallazgo 19- Notas a los E.F- parte 3- Procedimiento  34-CTB-13 V3 Cierres contables actualizado</t>
    </r>
  </si>
  <si>
    <r>
      <t xml:space="preserve">Reporte Diciembre/2020 (02-1343-3 de 2021): </t>
    </r>
    <r>
      <rPr>
        <sz val="10"/>
        <rFont val="Arial"/>
        <family val="2"/>
      </rPr>
      <t>Para la presente actividad se realizó la respectiva reunión con el grupo de gestión contable, se adjunta acta de la misma, así cómo el procedimiento anterior.
Anexo 2- Hallazgo 19- Notas a los E.F- parte 1- Procedimiento 134-CTB-13 V1 Cierres contables anterior
Anexo 2- Hallazgo 19- Notas a los E.F- parte 2- Acta 1 reunión de trabajo Revision Formatos de procedimientos
Anexo 2- Hallazgo 19- Notas a los E.F- parte 3- solicitud de información para el cierre</t>
    </r>
  </si>
  <si>
    <t>Se realizaron las reuniones con las Dependencias señaladas (ver actas de reunión) y se realizaron los ajustes de acuerdo al informe enviado por la Oficina de Planeación (ver auxiliares de los ajustes realizados)</t>
  </si>
  <si>
    <r>
      <rPr>
        <b/>
        <sz val="10"/>
        <rFont val="Arial"/>
        <family val="2"/>
      </rPr>
      <t>Reporte Diciembre/2020 (02-131-24 de 2021):</t>
    </r>
    <r>
      <rPr>
        <sz val="10"/>
        <rFont val="Arial"/>
        <family val="2"/>
      </rPr>
      <t xml:space="preserve"> Se realizaron 4 reuniones: Acta 9 - 03/08/20, Acta 10 - 27/08/20, Acta 11 - 02/10/20 y Acta 12 - 30/10/20</t>
    </r>
  </si>
  <si>
    <r>
      <t xml:space="preserve">Se solicitó prorroga (memo 01-131-719 del 23/09/20) para cambiar la fecha de finlaización para el 30/11/20 y esta fue apropada en Comité del </t>
    </r>
    <r>
      <rPr>
        <sz val="10"/>
        <color theme="1"/>
        <rFont val="Arial"/>
        <family val="2"/>
      </rPr>
      <t xml:space="preserve">28/09/20 (ver acta No. 17 de 2020),  e informado por </t>
    </r>
    <r>
      <rPr>
        <sz val="10"/>
        <rFont val="Arial"/>
        <family val="2"/>
      </rPr>
      <t>Control Interno con memorando</t>
    </r>
    <r>
      <rPr>
        <sz val="10"/>
        <color theme="1"/>
        <rFont val="Arial"/>
        <family val="2"/>
      </rPr>
      <t xml:space="preserve"> 02-1115-361 del 29/09/20</t>
    </r>
    <r>
      <rPr>
        <sz val="10"/>
        <rFont val="Arial"/>
        <family val="2"/>
      </rPr>
      <t xml:space="preserve">.
</t>
    </r>
    <r>
      <rPr>
        <b/>
        <sz val="10"/>
        <rFont val="Arial"/>
        <family val="2"/>
      </rPr>
      <t>Reporte Diciembre/2020 (02-131-24 de 2021):</t>
    </r>
    <r>
      <rPr>
        <sz val="10"/>
        <rFont val="Arial"/>
        <family val="2"/>
      </rPr>
      <t xml:space="preserve">
Reunión realizada el 22/10/20
1. Memo invitación reunión.
2.  Listado de asistentes a reunión. 
3. Presentación de reunión.
4. Presentación enviada por correo electrónico el 22/10/20
5. Soporte presentación subida a web </t>
    </r>
  </si>
  <si>
    <r>
      <rPr>
        <b/>
        <sz val="10"/>
        <rFont val="Arial"/>
        <family val="2"/>
      </rPr>
      <t>Reporte Diciembre/2020 (02-1343-4 de 2021):</t>
    </r>
    <r>
      <rPr>
        <sz val="10"/>
        <rFont val="Arial"/>
        <family val="2"/>
      </rPr>
      <t xml:space="preserve"> Para la presente actividad se anexa el procedimiento con las modificaciones pertinentes.
Anexo 1- Hallazgo 26- Notas a los E.F- parte 3- Procedimiento  34-CTB-13 V3 Cierres contables actualizado</t>
    </r>
  </si>
  <si>
    <r>
      <t>Reporte Diciembre/2020 (02-1343-4 de 2021):</t>
    </r>
    <r>
      <rPr>
        <sz val="10"/>
        <rFont val="Arial"/>
        <family val="2"/>
      </rPr>
      <t xml:space="preserve"> Para la presente actividad se anexa el procedimiento con las modificaciones pertinentes.
Anexo 1- Hallazgo 26- Notas a los E.F- parte 3- Procedimiento  34-CTB-13 V3 Cierres contables actualizado</t>
    </r>
  </si>
  <si>
    <t>La accion se encuentra vigente</t>
  </si>
  <si>
    <t>NA</t>
  </si>
  <si>
    <t>Las acciones se encuentra vigentes por lo cual no se evalua su cumplimiento</t>
  </si>
  <si>
    <t>No se evidencia el ajuste del manual de politicas contables en lo relacionado con activos intengibles</t>
  </si>
  <si>
    <t>El ajuste realizado a la cuenta contable 1970 es de fecha del 03/01/2020, por lo cual y de acuerdo a la auditoria externa realizada, esta accion no es efectiva, pues la cuenta presenta diferencias a 30/09/2020</t>
  </si>
  <si>
    <t>Se  Implementaron los ajustes al procedimiento No 134-CTB-13 Cierre Contable (se Anexa Borrador Procedimiento con las modificaciones) y se socializan los cambios con el grupo de gestión contable (se adjunta acta)
El procedimiento actualizado es el 134-CTB-13 Cierre contables Version 3 Fecha 20-10-2020</t>
  </si>
  <si>
    <r>
      <t xml:space="preserve">La accion se encuentra vigente.
</t>
    </r>
    <r>
      <rPr>
        <sz val="9"/>
        <color rgb="FFFF0000"/>
        <rFont val="Arial"/>
        <family val="2"/>
      </rPr>
      <t>Respecto al ajuste contable de Fabio Vera ...</t>
    </r>
    <r>
      <rPr>
        <sz val="9"/>
        <rFont val="Arial"/>
        <family val="2"/>
      </rPr>
      <t xml:space="preserve">
Asi mismo, se evidencia el memorando de informacion y los memorandos No. 02-114-327 del 20 de octubre de 2020, No. 02-114-379 del 11 de diciembre de 2020, No. 02-114-393 del 23 de diciembre de 2020 y  No. 02-114-401 del 29 de diciembre de 2020; que se envian desde la Oficna Juridica a Gestion Contable sobre los procesos judiciales.
</t>
    </r>
  </si>
  <si>
    <t>Vicerrectoria Admi nistrativa y Financiera</t>
  </si>
  <si>
    <r>
      <rPr>
        <b/>
        <sz val="10"/>
        <rFont val="Arial"/>
        <family val="2"/>
      </rPr>
      <t xml:space="preserve">Reporte Junio/2019 (02-134-155): </t>
    </r>
    <r>
      <rPr>
        <sz val="10"/>
        <rFont val="Arial"/>
        <family val="2"/>
      </rPr>
      <t>Se envió memorando 02-134-142 del 12 de Junio de 2019 a GTIYSI</t>
    </r>
  </si>
  <si>
    <r>
      <t>Reporte Junio/2019 (02-121-414):</t>
    </r>
    <r>
      <rPr>
        <sz val="10"/>
        <rFont val="Arial"/>
        <family val="2"/>
      </rPr>
      <t xml:space="preserve"> En el Consejo Académico celebrado el 26 de junio de 2019 se designó comisión para analizar y proponer un reglamento al artículo 18 del Estatuto docente, el cual permitirá brindar las claridades necesarias sobre el cumplimiento de la Hora Catedra.</t>
    </r>
  </si>
  <si>
    <r>
      <t xml:space="preserve">Reporte Marzo/2021 (02-131-288):
</t>
    </r>
    <r>
      <rPr>
        <sz val="10"/>
        <color theme="1"/>
        <rFont val="Arial"/>
        <family val="2"/>
      </rPr>
      <t>El día 24 de marzo de 2021, se llevó a cabo de manera virtual la socialización sobre el nuevo aplicativo para el manejo PQRS, con la participación de 160 personas de diferentes dependencias, que tienen relación con la atención de PQRS. 
Se adjuntan como soporte: Link para acceder a la grabación de reunión, chat generado en esta sesión, listado de asistentes y memorando de invitación</t>
    </r>
    <r>
      <rPr>
        <b/>
        <sz val="10"/>
        <color theme="1"/>
        <rFont val="Arial"/>
        <family val="2"/>
      </rPr>
      <t xml:space="preserve">. </t>
    </r>
  </si>
  <si>
    <r>
      <rPr>
        <b/>
        <sz val="10"/>
        <color theme="1"/>
        <rFont val="Arial"/>
        <family val="2"/>
      </rPr>
      <t xml:space="preserve">Reporte Marzo/2021 (02-131-288):
</t>
    </r>
    <r>
      <rPr>
        <sz val="10"/>
        <color theme="1"/>
        <rFont val="Arial"/>
        <family val="2"/>
      </rPr>
      <t xml:space="preserve">La Comisión designada por el Consejo Académico para revisar el Artículo 18 del Estatuto Docente, después de realizar todas las revisiones correspondientes, elaboró el proyecto de Acuerdo que fue presentado al Consejo Académico en sesión ordinaria realizada el día 17 de febrero de 2021. 
Anexo - Borrador del proyecto de Acuerdo que modifica el Artículo 18 del Estatuto Docente. </t>
    </r>
  </si>
  <si>
    <r>
      <rPr>
        <b/>
        <sz val="10"/>
        <color theme="1"/>
        <rFont val="Arial"/>
        <family val="2"/>
      </rPr>
      <t>Reporte Marzo/2021 (02-131-288):</t>
    </r>
    <r>
      <rPr>
        <sz val="10"/>
        <color theme="1"/>
        <rFont val="Arial"/>
        <family val="2"/>
      </rPr>
      <t xml:space="preserve">
Fue aprobado por el Consejo Académico, el Acuerdo No. 6 del 17 de febrero de 2021 "Por medio del cual se determina una actividad complementaria de docencia directa u horas cátedra y se dictan otras disposiciones". 
Anexo - Acuerdo No. 6 de 2021 del Consejo Académico</t>
    </r>
  </si>
  <si>
    <r>
      <rPr>
        <b/>
        <sz val="10"/>
        <color theme="1"/>
        <rFont val="Arial"/>
        <family val="2"/>
      </rPr>
      <t xml:space="preserve">Reporte Marzo/2021 (02-131-288):
</t>
    </r>
    <r>
      <rPr>
        <sz val="10"/>
        <color theme="1"/>
        <rFont val="Arial"/>
        <family val="2"/>
      </rPr>
      <t>A través del memorando 02-01-22 del 22 febrero de 2021 enviado desde la Secretaría del Consejo Académico, se socializó a todas las Facultades, Programas y dependencias administrativas, la nueva directriz aprobada mediante el Acuerdo No. 6 de 2021. 
Anexo - Memorando del 22 de febrero de 2021</t>
    </r>
  </si>
  <si>
    <t>Las acciones se encuentran cumplidas pues se logró desarrollar el módulo para validar los elementos a cargo de los cuentadantes y realizar las respectivas pruebas</t>
  </si>
  <si>
    <r>
      <rPr>
        <b/>
        <sz val="10"/>
        <rFont val="Arial"/>
        <family val="2"/>
      </rPr>
      <t>Reporte Marzo/2021 (02-1333-9):</t>
    </r>
    <r>
      <rPr>
        <sz val="10"/>
        <rFont val="Arial"/>
        <family val="2"/>
      </rPr>
      <t xml:space="preserve"> Una vez probada la aplicación se realizaron tres socializaciones dos a través de campus informa y una al correo personal de cada responsable  la ultima comunicación se envio el 19 de febrero posteriormente se hizo la prueba con los cuentadantes</t>
    </r>
  </si>
  <si>
    <t>Se realizó la verificación del inventario de la Jefa de Control Interno (Sandra Yamile Calvo Cataño), sin ningún inconveniente</t>
  </si>
  <si>
    <t>Pantallazos de ingreso y verificación del inventario de la Jefe de Control Inerno (Sandra Yamile Calvo Cataño)</t>
  </si>
  <si>
    <t>Se cumplió con la elaboración de una nueva directriz y su socialización a la Comunidad Universitaria</t>
  </si>
  <si>
    <r>
      <t xml:space="preserve">Reporte Marzo/2021 (02-111-29): </t>
    </r>
    <r>
      <rPr>
        <sz val="10"/>
        <rFont val="Arial"/>
        <family val="2"/>
      </rPr>
      <t>Se viene avanzando con el equipo de trabajo  en la elaboración de un documento preliminar consolidado para el control y seguimiento   para la planeación y ejecución de contratos de diseño, obra y adecuaciones. Se anexan actas de reuniòn</t>
    </r>
  </si>
  <si>
    <r>
      <t>Reporte Marzo/2021 (02-111-29):</t>
    </r>
    <r>
      <rPr>
        <sz val="10"/>
        <rFont val="Arial"/>
        <family val="2"/>
      </rPr>
      <t xml:space="preserve"> Una vez se cuente con el procedimiento aprobado por el Sistema integral de gestión se procederá a socializar con el equipo de trabajo</t>
    </r>
  </si>
  <si>
    <r>
      <t>Reporte Marzo/2021 (02-111-29):</t>
    </r>
    <r>
      <rPr>
        <sz val="10"/>
        <rFont val="Arial"/>
        <family val="2"/>
      </rPr>
      <t xml:space="preserve"> Ya se cuenta con el procedimiento, estamos en etapa de validaciòn y aprobaciòn para enviar su creaciòn al Sistema Integral de gestión. </t>
    </r>
  </si>
  <si>
    <r>
      <rPr>
        <b/>
        <sz val="10"/>
        <rFont val="Arial"/>
        <family val="2"/>
      </rPr>
      <t>Reporte Diciembre/2020 (02-113-277):</t>
    </r>
    <r>
      <rPr>
        <sz val="10"/>
        <rFont val="Arial"/>
        <family val="2"/>
      </rPr>
      <t xml:space="preserve"> Se priorización las adquisión de normas  técnicas relacionadas con diseños de infraestructura física, con el equipo de trabajo. </t>
    </r>
  </si>
  <si>
    <t xml:space="preserve">Se priorización las adquisión de normas  técnicas relacionadas con diseños de infraestructura física y se definió el procedimiento de uso de las normas técnicas relacionadas con diseños de infraestructura física </t>
  </si>
  <si>
    <r>
      <t>Reporte Marzo/2021 (02-1343-38):</t>
    </r>
    <r>
      <rPr>
        <sz val="10"/>
        <rFont val="Arial"/>
        <family val="2"/>
      </rPr>
      <t xml:space="preserve"> Se adjunta actualizaciòn del Manual de Politicas Contables y Procedimiento de Cartera de acuerdo a la Resoluciòn 425/2020_Anexo 1 y 2.</t>
    </r>
  </si>
  <si>
    <r>
      <t xml:space="preserve">Reporte Marzo/2021 (02-1343-38): </t>
    </r>
    <r>
      <rPr>
        <sz val="10"/>
        <rFont val="Arial"/>
        <family val="2"/>
      </rPr>
      <t>Se adjunta actualizaciòn del Manual de Politicas Contables y Procedimiento de Cartera de acuerdo a la Resoluciòn 425/2020_Anexo 1 y 2.</t>
    </r>
  </si>
  <si>
    <r>
      <t xml:space="preserve">Reporte Marzo/2021 (02-1343-38): </t>
    </r>
    <r>
      <rPr>
        <sz val="10"/>
        <rFont val="Arial"/>
        <family val="2"/>
      </rPr>
      <t>Se adjunta actualizaciòn del Manual de Politicas Contables y Instructivo Deterioro Cartera de acuerdo a la Resoluciòn 425/2020_Anexo 1 y 2.</t>
    </r>
  </si>
  <si>
    <r>
      <t xml:space="preserve">Reporte Marzo/2021 (02-1343-38): </t>
    </r>
    <r>
      <rPr>
        <sz val="10"/>
        <rFont val="Arial"/>
        <family val="2"/>
      </rPr>
      <t>Se adjunta Actualizacón Manual de Politicas Generales Operaciones y Actualización Procedimiento Conciliaciones (operaciones reciprocas) anexo 1 y 2.</t>
    </r>
  </si>
  <si>
    <r>
      <t>Reporte Marzo/2021 (02-1343-38):</t>
    </r>
    <r>
      <rPr>
        <sz val="10"/>
        <rFont val="Arial"/>
        <family val="2"/>
      </rPr>
      <t xml:space="preserve"> Se adjunta Actualizacón Manual de Politicas Generales Operaciones y Actualización Procedimiento Conciliaciones (operaciones reciprocas) anexo 1 y 2.</t>
    </r>
  </si>
  <si>
    <r>
      <t>Reporte Marzo/2021 (02-1343-38):</t>
    </r>
    <r>
      <rPr>
        <sz val="10"/>
        <rFont val="Arial"/>
        <family val="2"/>
      </rPr>
      <t xml:space="preserve"> Se adjunta Actualizacion del procedimiento para la elaboración  de los Estados Financieros la presentación de los Beneficios Posempleo.</t>
    </r>
  </si>
  <si>
    <r>
      <t xml:space="preserve">Reporte Marzo/2021 (02-1343-38): </t>
    </r>
    <r>
      <rPr>
        <sz val="10"/>
        <rFont val="Arial"/>
        <family val="2"/>
      </rPr>
      <t>Se anexa acta del 20/01/2021 donde se hace entrega del procedimiento cuentas por pagar  134-CTB-09 V5.</t>
    </r>
  </si>
  <si>
    <r>
      <rPr>
        <b/>
        <sz val="10"/>
        <rFont val="Arial"/>
        <family val="2"/>
      </rPr>
      <t>Reporte Marzo/2021 (02-1343-38):</t>
    </r>
    <r>
      <rPr>
        <sz val="10"/>
        <rFont val="Arial"/>
        <family val="2"/>
      </rPr>
      <t xml:space="preserve"> Se adjunta actualizaciòn del Manual de Politicas Contables y Procedimiento de Cartera de acuerdo a la Resoluciòn 425/2020_Anexo 1 y 2</t>
    </r>
  </si>
  <si>
    <r>
      <t xml:space="preserve">Reporte Marzo/2021 (02-1343-38): </t>
    </r>
    <r>
      <rPr>
        <sz val="10"/>
        <rFont val="Arial"/>
        <family val="2"/>
      </rPr>
      <t>Se adjunta Actualizacion del procedimiento para la elaboración  de los Estados Financieros la presentación de los Beneficios Posempleo.</t>
    </r>
  </si>
  <si>
    <r>
      <t xml:space="preserve">Reporte Marzo/2021 (02-1343-38): </t>
    </r>
    <r>
      <rPr>
        <sz val="10"/>
        <rFont val="Arial"/>
        <family val="2"/>
      </rPr>
      <t>Se adjunta Comunicado formato amortizaciòn Intangibles y formato amortizaciòn intangibles anexo 1 y 2.</t>
    </r>
  </si>
  <si>
    <r>
      <t xml:space="preserve">Reporte Marzo/2021 (02-1343-38): </t>
    </r>
    <r>
      <rPr>
        <sz val="10"/>
        <rFont val="Arial"/>
        <family val="2"/>
      </rPr>
      <t>Se adjunta el registro Pasivo Pensional Instructivo contabilización registro pensional.</t>
    </r>
  </si>
  <si>
    <t>Se diseñó un formato para control del inventario de los Activos Intangibles de la Universidad.</t>
  </si>
  <si>
    <t>No. 3</t>
  </si>
  <si>
    <r>
      <rPr>
        <b/>
        <sz val="10"/>
        <rFont val="Arial"/>
        <family val="2"/>
      </rPr>
      <t>Reporte Marzo/2021 (02-134-102):</t>
    </r>
    <r>
      <rPr>
        <sz val="10"/>
        <rFont val="Arial"/>
        <family val="2"/>
      </rPr>
      <t xml:space="preserve"> ACTA No. 1 cuyo objeto es realizar una reunión con el equipo de trabajo para validar los conceptos de ingresos presupuestales y las cuentas contables del ingreso, relacionadas con el registro del ingreso por concepto de matrículas.</t>
    </r>
  </si>
  <si>
    <t>TOTAL HALLAZGOS PENDIENTE DE EVALUACION</t>
  </si>
  <si>
    <r>
      <t>Reporte Marzo/2021 (02-1343-38):</t>
    </r>
    <r>
      <rPr>
        <sz val="10"/>
        <rFont val="Arial"/>
        <family val="2"/>
      </rPr>
      <t xml:space="preserve"> Se ajunta actualización del procedimiento Cuentas por pagar 134-CTB-09 V5.</t>
    </r>
  </si>
  <si>
    <r>
      <t xml:space="preserve">EVALUACION DEL HALLAZGO RESPECTO AL CUMPLIMIENTO DE LAS ACCIONES
</t>
    </r>
    <r>
      <rPr>
        <sz val="8"/>
        <color theme="0"/>
        <rFont val="Arial"/>
        <family val="2"/>
      </rPr>
      <t>(celda automatica, depende de la calificacion del cumplimiento del total de las acciones)</t>
    </r>
  </si>
  <si>
    <r>
      <t xml:space="preserve">EVALUACION DEL HALLAZGO RESPECTO AL CUMPLIMIENTO DE LAS ACCIONES
</t>
    </r>
    <r>
      <rPr>
        <sz val="8"/>
        <color theme="0"/>
        <rFont val="Arial"/>
        <family val="2"/>
      </rPr>
      <t>(Selecciones la opcion, según la evaluacion de efectividad respecto al total de las acciones implementadas)</t>
    </r>
  </si>
  <si>
    <r>
      <t xml:space="preserve">OBSERVACIÓN SOBRE EFECTIVIDAD
</t>
    </r>
    <r>
      <rPr>
        <sz val="8"/>
        <color theme="0"/>
        <rFont val="Arial"/>
        <family val="2"/>
      </rPr>
      <t>(Justifique la calificacion asignada, de acuerdo a las evidencias obtenidas - cite evidencias)</t>
    </r>
  </si>
  <si>
    <r>
      <t xml:space="preserve">CONCLUSION DEL ESTADO DEL HALLAZGO
</t>
    </r>
    <r>
      <rPr>
        <sz val="8"/>
        <color theme="0"/>
        <rFont val="Arial"/>
        <family val="2"/>
      </rPr>
      <t>(celda automatica, depende de la calificacion de la Evaluacion del Hallazgo respecto a cumplimiento y efectividad de las acciones)</t>
    </r>
  </si>
  <si>
    <r>
      <t xml:space="preserve">EVIDENCIA DE EFECTIVIDAD
</t>
    </r>
    <r>
      <rPr>
        <sz val="8"/>
        <color theme="0"/>
        <rFont val="Arial"/>
        <family val="2"/>
      </rPr>
      <t>(Registre las Hoja de trabajo o documentos donde evidenciola conclusion de la evaluacion del estado del Hallazgo)</t>
    </r>
  </si>
  <si>
    <r>
      <rPr>
        <b/>
        <sz val="10"/>
        <rFont val="Arial"/>
        <family val="2"/>
      </rPr>
      <t>Reporte Marzo/2021 (02-1343-38-02-1343-44 y correos electronicos del martes 13/04/2021 - viernes 16/04/2021 - lunes 19/04/2021):</t>
    </r>
    <r>
      <rPr>
        <sz val="10"/>
        <rFont val="Arial"/>
        <family val="2"/>
      </rPr>
      <t xml:space="preserve"> Se adjunta cuenta contable Litigios y Demandas, Formatos Informes segundo-tercer y cuarto trimestre 2020 y primer trimestre de 2021 Litigios y Demandas y sus respectivos Anexos.</t>
    </r>
  </si>
  <si>
    <t>No se ha evaluado la efectividad, queda pendiente para el proximo seguimiento del plan de mejoramiento.</t>
  </si>
  <si>
    <t xml:space="preserve">La medición de la efectividad de este hallazgo, se realizará en el proximo seguimiento del plan de mejoramiento. </t>
  </si>
  <si>
    <t>La medición de la efectividad de este hallazgo, se realizará en el proximo seguimiento del plan de mejoramiento</t>
  </si>
  <si>
    <t>La medición de la efectividad de este hallazgo, se realizará en el proximo seguimiento del plan de mejoramientos</t>
  </si>
  <si>
    <t>Acta No. 04</t>
  </si>
  <si>
    <t>NO TIENE</t>
  </si>
  <si>
    <t>No se presenta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</si>
</sst>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C0A]d\ &quot;de&quot;\ mmmm\ &quot;de&quot;\ yyyy;@"/>
    <numFmt numFmtId="167" formatCode="[$-C0A]dd\-mmm\-yy;@"/>
    <numFmt numFmtId="168" formatCode="[$-C0A]d\-mmm\-yy;@"/>
    <numFmt numFmtId="169" formatCode="0.0"/>
    <numFmt numFmtId="170" formatCode="0.0000"/>
  </numFmts>
  <fonts count="48" x14ac:knownFonts="1">
    <font>
      <sz val="10"/>
      <name val="Arial"/>
    </font>
    <font>
      <sz val="10"/>
      <name val="Arial"/>
      <family val="2"/>
    </font>
    <font>
      <sz val="8"/>
      <name val="Arial"/>
      <family val="2"/>
    </font>
    <font>
      <b/>
      <sz val="10"/>
      <name val="Arial"/>
      <family val="2"/>
    </font>
    <font>
      <b/>
      <sz val="6"/>
      <name val="Arial"/>
      <family val="2"/>
    </font>
    <font>
      <sz val="10"/>
      <name val="Arial"/>
      <family val="2"/>
    </font>
    <font>
      <b/>
      <sz val="8"/>
      <name val="Times New Roman"/>
      <family val="1"/>
    </font>
    <font>
      <b/>
      <sz val="13"/>
      <name val="Arial"/>
      <family val="2"/>
    </font>
    <font>
      <b/>
      <sz val="11"/>
      <name val="Arial"/>
      <family val="2"/>
    </font>
    <font>
      <sz val="6"/>
      <name val="Arial"/>
      <family val="2"/>
    </font>
    <font>
      <b/>
      <sz val="10"/>
      <color indexed="9"/>
      <name val="Arial"/>
      <family val="2"/>
    </font>
    <font>
      <b/>
      <sz val="7"/>
      <color indexed="9"/>
      <name val="Arial"/>
      <family val="2"/>
    </font>
    <font>
      <b/>
      <sz val="5"/>
      <color indexed="9"/>
      <name val="Arial"/>
      <family val="2"/>
    </font>
    <font>
      <b/>
      <sz val="6"/>
      <color indexed="9"/>
      <name val="Arial"/>
      <family val="2"/>
    </font>
    <font>
      <b/>
      <sz val="9"/>
      <color indexed="81"/>
      <name val="Tahoma"/>
      <family val="2"/>
    </font>
    <font>
      <sz val="10"/>
      <name val="Arial"/>
      <family val="2"/>
    </font>
    <font>
      <b/>
      <sz val="8"/>
      <name val="Arial"/>
      <family val="2"/>
    </font>
    <font>
      <b/>
      <sz val="8"/>
      <color indexed="9"/>
      <name val="Arial"/>
      <family val="2"/>
    </font>
    <font>
      <sz val="9"/>
      <name val="Calibri"/>
      <family val="2"/>
    </font>
    <font>
      <b/>
      <sz val="9"/>
      <name val="Calibri"/>
      <family val="2"/>
    </font>
    <font>
      <sz val="9"/>
      <name val="Arial"/>
      <family val="2"/>
    </font>
    <font>
      <sz val="10"/>
      <name val="Arial"/>
      <family val="2"/>
    </font>
    <font>
      <b/>
      <sz val="9"/>
      <name val="Arial"/>
      <family val="2"/>
    </font>
    <font>
      <b/>
      <sz val="9"/>
      <color indexed="9"/>
      <name val="Arial"/>
      <family val="2"/>
    </font>
    <font>
      <b/>
      <sz val="9"/>
      <name val="Times New Roman"/>
      <family val="1"/>
    </font>
    <font>
      <sz val="9"/>
      <name val="Calibri"/>
      <family val="2"/>
      <scheme val="minor"/>
    </font>
    <font>
      <b/>
      <sz val="9"/>
      <name val="Calibri"/>
      <family val="2"/>
      <scheme val="minor"/>
    </font>
    <font>
      <b/>
      <sz val="9"/>
      <color indexed="9"/>
      <name val="Calibri"/>
      <family val="2"/>
      <scheme val="minor"/>
    </font>
    <font>
      <sz val="9"/>
      <color theme="1"/>
      <name val="Calibri"/>
      <family val="2"/>
      <scheme val="minor"/>
    </font>
    <font>
      <b/>
      <sz val="10"/>
      <color theme="0"/>
      <name val="Arial"/>
      <family val="2"/>
    </font>
    <font>
      <b/>
      <sz val="9"/>
      <color theme="0"/>
      <name val="Arial"/>
      <family val="2"/>
    </font>
    <font>
      <b/>
      <sz val="11"/>
      <color theme="0"/>
      <name val="Arial"/>
      <family val="2"/>
    </font>
    <font>
      <sz val="9"/>
      <color theme="0"/>
      <name val="Calibri"/>
      <family val="2"/>
      <scheme val="minor"/>
    </font>
    <font>
      <b/>
      <sz val="9"/>
      <color theme="0"/>
      <name val="Calibri"/>
      <family val="2"/>
      <scheme val="minor"/>
    </font>
    <font>
      <b/>
      <sz val="12"/>
      <color theme="0"/>
      <name val="Calibri"/>
      <family val="2"/>
      <scheme val="minor"/>
    </font>
    <font>
      <b/>
      <sz val="12"/>
      <color indexed="9"/>
      <name val="Arial"/>
      <family val="2"/>
    </font>
    <font>
      <sz val="10"/>
      <color theme="0"/>
      <name val="Arial"/>
      <family val="2"/>
    </font>
    <font>
      <b/>
      <sz val="14"/>
      <color theme="0"/>
      <name val="Arial"/>
      <family val="2"/>
    </font>
    <font>
      <b/>
      <sz val="10"/>
      <color theme="0"/>
      <name val="Calibri"/>
      <family val="2"/>
      <scheme val="minor"/>
    </font>
    <font>
      <b/>
      <sz val="12"/>
      <name val="Arial"/>
      <family val="2"/>
    </font>
    <font>
      <sz val="7"/>
      <name val="Arial"/>
      <family val="2"/>
    </font>
    <font>
      <sz val="14"/>
      <color theme="0"/>
      <name val="Arial"/>
      <family val="2"/>
    </font>
    <font>
      <sz val="9"/>
      <color theme="0"/>
      <name val="Arial"/>
      <family val="2"/>
    </font>
    <font>
      <sz val="8"/>
      <color theme="0"/>
      <name val="Arial"/>
      <family val="2"/>
    </font>
    <font>
      <u/>
      <sz val="10"/>
      <color theme="10"/>
      <name val="Arial"/>
      <family val="2"/>
    </font>
    <font>
      <sz val="10"/>
      <color theme="1"/>
      <name val="Arial"/>
      <family val="2"/>
    </font>
    <font>
      <sz val="9"/>
      <color rgb="FFFF0000"/>
      <name val="Arial"/>
      <family val="2"/>
    </font>
    <font>
      <b/>
      <sz val="10"/>
      <color theme="1"/>
      <name val="Arial"/>
      <family val="2"/>
    </font>
  </fonts>
  <fills count="32">
    <fill>
      <patternFill patternType="none"/>
    </fill>
    <fill>
      <patternFill patternType="gray125"/>
    </fill>
    <fill>
      <patternFill patternType="solid">
        <fgColor indexed="26"/>
        <bgColor indexed="26"/>
      </patternFill>
    </fill>
    <fill>
      <patternFill patternType="solid">
        <fgColor indexed="9"/>
      </patternFill>
    </fill>
    <fill>
      <patternFill patternType="solid">
        <fgColor theme="0"/>
        <bgColor indexed="64"/>
      </patternFill>
    </fill>
    <fill>
      <patternFill patternType="solid">
        <fgColor theme="0"/>
        <bgColor indexed="26"/>
      </patternFill>
    </fill>
    <fill>
      <patternFill patternType="solid">
        <fgColor rgb="FFFAFEC2"/>
        <bgColor indexed="26"/>
      </patternFill>
    </fill>
    <fill>
      <patternFill patternType="solid">
        <fgColor rgb="FFFAFEC2"/>
        <bgColor indexed="64"/>
      </patternFill>
    </fill>
    <fill>
      <patternFill patternType="solid">
        <fgColor theme="9" tint="0.39997558519241921"/>
        <bgColor indexed="64"/>
      </patternFill>
    </fill>
    <fill>
      <patternFill patternType="solid">
        <fgColor rgb="FFFFFFBD"/>
        <bgColor indexed="26"/>
      </patternFill>
    </fill>
    <fill>
      <patternFill patternType="solid">
        <fgColor rgb="FFFFFFBD"/>
        <bgColor indexed="64"/>
      </patternFill>
    </fill>
    <fill>
      <patternFill patternType="solid">
        <fgColor rgb="FF92D050"/>
        <bgColor indexed="26"/>
      </patternFill>
    </fill>
    <fill>
      <patternFill patternType="solid">
        <fgColor rgb="FF00B050"/>
        <bgColor indexed="26"/>
      </patternFill>
    </fill>
    <fill>
      <patternFill patternType="solid">
        <fgColor theme="6" tint="-0.249977111117893"/>
        <bgColor indexed="26"/>
      </patternFill>
    </fill>
    <fill>
      <patternFill patternType="solid">
        <fgColor rgb="FFFFC000"/>
        <bgColor indexed="26"/>
      </patternFill>
    </fill>
    <fill>
      <patternFill patternType="solid">
        <fgColor rgb="FFC00000"/>
        <bgColor indexed="26"/>
      </patternFill>
    </fill>
    <fill>
      <patternFill patternType="solid">
        <fgColor theme="4" tint="-0.249977111117893"/>
        <bgColor indexed="64"/>
      </patternFill>
    </fill>
    <fill>
      <patternFill patternType="solid">
        <fgColor theme="6" tint="-0.249977111117893"/>
        <bgColor indexed="64"/>
      </patternFill>
    </fill>
    <fill>
      <patternFill patternType="solid">
        <fgColor rgb="FFFFFF00"/>
        <bgColor indexed="26"/>
      </patternFill>
    </fill>
    <fill>
      <patternFill patternType="solid">
        <fgColor theme="0"/>
      </patternFill>
    </fill>
    <fill>
      <patternFill patternType="solid">
        <fgColor rgb="FFFFFFCC"/>
        <bgColor indexed="64"/>
      </patternFill>
    </fill>
    <fill>
      <patternFill patternType="solid">
        <fgColor rgb="FF00B050"/>
        <bgColor indexed="64"/>
      </patternFill>
    </fill>
    <fill>
      <patternFill patternType="solid">
        <fgColor theme="6" tint="0.39997558519241921"/>
        <bgColor indexed="26"/>
      </patternFill>
    </fill>
    <fill>
      <patternFill patternType="solid">
        <fgColor rgb="FFFFFFCC"/>
        <bgColor indexed="26"/>
      </patternFill>
    </fill>
    <fill>
      <patternFill patternType="solid">
        <fgColor rgb="FFFFFF00"/>
        <bgColor indexed="64"/>
      </patternFill>
    </fill>
    <fill>
      <patternFill patternType="solid">
        <fgColor rgb="FF92D050"/>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rgb="FFFF00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cellStyleXfs>
  <cellXfs count="1185">
    <xf numFmtId="0" fontId="0" fillId="0" borderId="0" xfId="0"/>
    <xf numFmtId="0" fontId="25" fillId="0" borderId="0" xfId="0" applyFont="1" applyBorder="1" applyProtection="1"/>
    <xf numFmtId="0" fontId="26" fillId="0" borderId="6" xfId="0" applyFont="1" applyBorder="1" applyAlignment="1" applyProtection="1">
      <alignment vertical="center"/>
    </xf>
    <xf numFmtId="0" fontId="26" fillId="0" borderId="4" xfId="0" applyFont="1" applyBorder="1" applyAlignment="1" applyProtection="1">
      <alignment vertical="center"/>
    </xf>
    <xf numFmtId="0" fontId="8" fillId="0" borderId="7" xfId="0" applyFont="1" applyBorder="1" applyAlignment="1" applyProtection="1">
      <alignment vertical="center"/>
    </xf>
    <xf numFmtId="0" fontId="8" fillId="0" borderId="5" xfId="0" applyFont="1" applyBorder="1" applyAlignment="1" applyProtection="1">
      <alignment vertical="center"/>
    </xf>
    <xf numFmtId="0" fontId="4" fillId="0" borderId="5" xfId="0" applyFont="1" applyBorder="1" applyAlignment="1" applyProtection="1">
      <alignment horizontal="right" vertical="top" wrapText="1"/>
    </xf>
    <xf numFmtId="0" fontId="9" fillId="0" borderId="9" xfId="0" applyFont="1" applyBorder="1" applyAlignment="1" applyProtection="1">
      <alignment horizontal="center" vertical="top" wrapText="1"/>
    </xf>
    <xf numFmtId="0" fontId="0" fillId="0" borderId="0" xfId="0" applyAlignment="1" applyProtection="1">
      <alignment horizontal="center" vertical="center"/>
    </xf>
    <xf numFmtId="0" fontId="0" fillId="0" borderId="0" xfId="0" applyProtection="1"/>
    <xf numFmtId="0" fontId="8" fillId="0" borderId="1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right" vertical="top" wrapText="1"/>
    </xf>
    <xf numFmtId="0" fontId="9" fillId="0" borderId="11" xfId="0" applyFont="1" applyBorder="1" applyAlignment="1" applyProtection="1">
      <alignment horizontal="center" vertical="top" wrapText="1"/>
    </xf>
    <xf numFmtId="14" fontId="9" fillId="0" borderId="11" xfId="0" applyNumberFormat="1" applyFont="1" applyBorder="1" applyAlignment="1" applyProtection="1">
      <alignment horizontal="center" vertical="top" wrapText="1"/>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8" fillId="0" borderId="4" xfId="0" applyFont="1" applyBorder="1" applyAlignment="1" applyProtection="1">
      <alignment horizontal="center" vertical="center"/>
    </xf>
    <xf numFmtId="0" fontId="4" fillId="0" borderId="4" xfId="0" applyFont="1" applyBorder="1" applyAlignment="1" applyProtection="1">
      <alignment horizontal="right" vertical="top" wrapText="1"/>
    </xf>
    <xf numFmtId="0" fontId="9" fillId="0" borderId="12" xfId="0" applyFont="1" applyBorder="1" applyAlignment="1" applyProtection="1">
      <alignment horizontal="center" vertical="top" wrapText="1"/>
    </xf>
    <xf numFmtId="0" fontId="9" fillId="0" borderId="13" xfId="0" applyFont="1" applyBorder="1" applyAlignment="1" applyProtection="1">
      <alignment horizontal="center" vertical="top" wrapText="1"/>
    </xf>
    <xf numFmtId="0" fontId="3" fillId="0" borderId="0" xfId="0" applyFont="1" applyProtection="1"/>
    <xf numFmtId="164" fontId="0" fillId="0" borderId="0" xfId="0" applyNumberFormat="1" applyAlignment="1" applyProtection="1">
      <alignment horizontal="center" vertical="center"/>
    </xf>
    <xf numFmtId="164" fontId="3" fillId="0" borderId="0" xfId="0" applyNumberFormat="1" applyFont="1" applyProtection="1"/>
    <xf numFmtId="10" fontId="0" fillId="0" borderId="0" xfId="4" applyNumberFormat="1" applyFont="1" applyProtection="1"/>
    <xf numFmtId="2" fontId="0" fillId="0" borderId="14" xfId="4" applyNumberFormat="1" applyFont="1" applyBorder="1" applyAlignment="1" applyProtection="1">
      <alignment horizontal="center" vertical="center"/>
    </xf>
    <xf numFmtId="0" fontId="0" fillId="0" borderId="0" xfId="0" applyFill="1" applyProtection="1"/>
    <xf numFmtId="2" fontId="0" fillId="0" borderId="1" xfId="4" applyNumberFormat="1" applyFont="1" applyBorder="1" applyAlignment="1" applyProtection="1">
      <alignment horizontal="center" vertical="center"/>
    </xf>
    <xf numFmtId="2" fontId="0" fillId="0" borderId="15" xfId="4" applyNumberFormat="1" applyFont="1" applyBorder="1" applyAlignment="1" applyProtection="1">
      <alignment horizontal="center" vertical="center"/>
    </xf>
    <xf numFmtId="2" fontId="0" fillId="0" borderId="16" xfId="4" applyNumberFormat="1" applyFont="1" applyBorder="1" applyAlignment="1" applyProtection="1">
      <alignment horizontal="center" vertical="center"/>
    </xf>
    <xf numFmtId="9" fontId="0" fillId="0" borderId="0" xfId="4" applyFont="1" applyAlignment="1" applyProtection="1">
      <alignment horizontal="center" vertical="center"/>
    </xf>
    <xf numFmtId="0" fontId="2" fillId="0" borderId="0" xfId="0" applyFont="1" applyAlignment="1" applyProtection="1">
      <alignment horizontal="center" vertical="center"/>
    </xf>
    <xf numFmtId="2" fontId="0" fillId="0" borderId="0" xfId="0" applyNumberFormat="1" applyAlignment="1" applyProtection="1">
      <alignment horizontal="center" vertical="center"/>
    </xf>
    <xf numFmtId="0" fontId="0" fillId="0" borderId="0" xfId="0" applyFill="1" applyAlignment="1" applyProtection="1">
      <alignment horizontal="center" vertical="center"/>
    </xf>
    <xf numFmtId="9" fontId="0" fillId="0" borderId="18" xfId="4" applyFont="1" applyFill="1" applyBorder="1" applyAlignment="1" applyProtection="1">
      <alignment horizontal="center" vertical="center"/>
    </xf>
    <xf numFmtId="9" fontId="0" fillId="0" borderId="19" xfId="4" applyFont="1" applyFill="1" applyBorder="1" applyAlignment="1" applyProtection="1">
      <alignment horizontal="center" vertical="center"/>
    </xf>
    <xf numFmtId="0" fontId="0" fillId="0" borderId="0" xfId="0" applyAlignment="1" applyProtection="1">
      <alignment horizontal="left" vertical="top"/>
    </xf>
    <xf numFmtId="0" fontId="2" fillId="0" borderId="0" xfId="0" applyFont="1" applyAlignment="1" applyProtection="1">
      <alignment horizontal="left" vertical="top"/>
    </xf>
    <xf numFmtId="165" fontId="0" fillId="0" borderId="14" xfId="4" applyNumberFormat="1" applyFont="1" applyBorder="1" applyAlignment="1" applyProtection="1">
      <alignment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top"/>
    </xf>
    <xf numFmtId="9" fontId="0" fillId="0" borderId="1" xfId="4" applyFont="1" applyBorder="1" applyAlignment="1" applyProtection="1">
      <alignment horizontal="center" vertical="center"/>
    </xf>
    <xf numFmtId="9" fontId="0" fillId="0" borderId="0" xfId="0" applyNumberFormat="1" applyProtection="1"/>
    <xf numFmtId="9" fontId="3" fillId="0" borderId="1" xfId="0" applyNumberFormat="1" applyFont="1" applyBorder="1" applyAlignment="1" applyProtection="1">
      <alignment horizontal="center" vertical="center"/>
    </xf>
    <xf numFmtId="2" fontId="0" fillId="0" borderId="20" xfId="4" applyNumberFormat="1" applyFont="1" applyBorder="1" applyAlignment="1" applyProtection="1">
      <alignment horizontal="center" vertical="center"/>
    </xf>
    <xf numFmtId="9" fontId="0" fillId="0" borderId="21" xfId="4" applyFont="1" applyFill="1" applyBorder="1" applyAlignment="1" applyProtection="1">
      <alignment horizontal="center" vertical="center"/>
    </xf>
    <xf numFmtId="9" fontId="0" fillId="0" borderId="22" xfId="4" applyFont="1" applyFill="1" applyBorder="1" applyAlignment="1" applyProtection="1">
      <alignment horizontal="center" vertical="center"/>
    </xf>
    <xf numFmtId="2" fontId="0" fillId="0" borderId="23" xfId="4" applyNumberFormat="1" applyFont="1" applyBorder="1" applyAlignment="1" applyProtection="1">
      <alignment horizontal="center" vertical="center"/>
    </xf>
    <xf numFmtId="165" fontId="0" fillId="0" borderId="20" xfId="4" applyNumberFormat="1" applyFont="1" applyBorder="1" applyAlignment="1" applyProtection="1">
      <alignment vertical="center"/>
    </xf>
    <xf numFmtId="0" fontId="26" fillId="0" borderId="4" xfId="0" applyFont="1" applyBorder="1" applyAlignment="1" applyProtection="1">
      <alignment horizontal="center" vertical="center"/>
    </xf>
    <xf numFmtId="9" fontId="0" fillId="0" borderId="25" xfId="4" applyFont="1" applyFill="1" applyBorder="1" applyAlignment="1" applyProtection="1">
      <alignment horizontal="center" vertical="center"/>
    </xf>
    <xf numFmtId="9" fontId="0" fillId="0" borderId="26" xfId="4" applyFont="1" applyFill="1" applyBorder="1" applyAlignment="1" applyProtection="1">
      <alignment horizontal="center" vertical="center"/>
    </xf>
    <xf numFmtId="0" fontId="26" fillId="0" borderId="10" xfId="0" applyFont="1" applyBorder="1" applyProtection="1"/>
    <xf numFmtId="0" fontId="9" fillId="0" borderId="27"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14" fontId="9" fillId="0" borderId="13" xfId="0" applyNumberFormat="1"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6" xfId="0" applyFont="1" applyBorder="1" applyAlignment="1" applyProtection="1">
      <alignment horizontal="center" vertical="center"/>
    </xf>
    <xf numFmtId="2" fontId="0" fillId="0" borderId="0" xfId="0" applyNumberFormat="1" applyAlignment="1" applyProtection="1">
      <alignment horizontal="center"/>
    </xf>
    <xf numFmtId="0" fontId="3" fillId="0" borderId="13" xfId="0" applyNumberFormat="1"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5" fillId="0" borderId="32" xfId="4" applyNumberFormat="1"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5" fillId="0" borderId="30" xfId="4" applyNumberFormat="1" applyFont="1" applyFill="1" applyBorder="1" applyAlignment="1" applyProtection="1">
      <alignment horizontal="center" vertical="center"/>
    </xf>
    <xf numFmtId="0" fontId="16" fillId="0" borderId="5"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4" xfId="0" applyFont="1" applyBorder="1" applyAlignment="1" applyProtection="1">
      <alignment horizontal="left" vertical="center"/>
    </xf>
    <xf numFmtId="0" fontId="2" fillId="0" borderId="0" xfId="0" applyFont="1" applyAlignment="1" applyProtection="1">
      <alignment horizontal="left" vertical="center"/>
    </xf>
    <xf numFmtId="0" fontId="26" fillId="0" borderId="4" xfId="0" applyFont="1" applyBorder="1" applyAlignment="1" applyProtection="1">
      <alignment horizontal="left" vertical="center"/>
    </xf>
    <xf numFmtId="0" fontId="25" fillId="0" borderId="0" xfId="0" applyFont="1" applyBorder="1" applyAlignment="1" applyProtection="1">
      <alignment horizontal="center"/>
    </xf>
    <xf numFmtId="0" fontId="20" fillId="8" borderId="14" xfId="0" applyFont="1" applyFill="1" applyBorder="1" applyAlignment="1" applyProtection="1">
      <alignment horizontal="center" vertical="center"/>
    </xf>
    <xf numFmtId="0" fontId="20" fillId="8" borderId="1" xfId="0" applyFont="1" applyFill="1" applyBorder="1" applyAlignment="1" applyProtection="1">
      <alignment horizontal="center" vertical="center"/>
    </xf>
    <xf numFmtId="0" fontId="20" fillId="8" borderId="3" xfId="0" applyFont="1" applyFill="1" applyBorder="1" applyAlignment="1" applyProtection="1">
      <alignment horizontal="center" vertical="center"/>
    </xf>
    <xf numFmtId="0" fontId="20" fillId="8" borderId="2" xfId="0" applyFont="1" applyFill="1" applyBorder="1" applyAlignment="1" applyProtection="1">
      <alignment horizontal="center" vertical="center"/>
    </xf>
    <xf numFmtId="0" fontId="20" fillId="8" borderId="15" xfId="0" applyFont="1" applyFill="1" applyBorder="1" applyAlignment="1" applyProtection="1">
      <alignment horizontal="center" vertical="center"/>
    </xf>
    <xf numFmtId="0" fontId="0" fillId="0" borderId="0" xfId="0" applyAlignment="1" applyProtection="1">
      <alignment horizontal="center"/>
    </xf>
    <xf numFmtId="0" fontId="20" fillId="9" borderId="14" xfId="0" applyFont="1" applyFill="1" applyBorder="1" applyAlignment="1" applyProtection="1">
      <alignment horizontal="center" vertical="center" wrapText="1"/>
    </xf>
    <xf numFmtId="168" fontId="20" fillId="9" borderId="14" xfId="0" applyNumberFormat="1" applyFont="1" applyFill="1" applyBorder="1" applyAlignment="1" applyProtection="1">
      <alignment horizontal="center" vertical="center"/>
    </xf>
    <xf numFmtId="0" fontId="20" fillId="10" borderId="29" xfId="0" applyNumberFormat="1" applyFont="1" applyFill="1" applyBorder="1" applyAlignment="1" applyProtection="1">
      <alignment horizontal="center" vertical="center" wrapText="1"/>
    </xf>
    <xf numFmtId="0" fontId="20" fillId="9" borderId="15" xfId="0" applyNumberFormat="1" applyFont="1" applyFill="1" applyBorder="1" applyAlignment="1" applyProtection="1">
      <alignment horizontal="center" vertical="center" wrapText="1"/>
    </xf>
    <xf numFmtId="0" fontId="20" fillId="9" borderId="15" xfId="0" applyNumberFormat="1" applyFont="1" applyFill="1" applyBorder="1" applyAlignment="1" applyProtection="1">
      <alignment horizontal="left" vertical="center" wrapText="1"/>
    </xf>
    <xf numFmtId="0" fontId="20" fillId="9" borderId="15" xfId="0" applyFont="1" applyFill="1" applyBorder="1" applyAlignment="1" applyProtection="1">
      <alignment horizontal="center" vertical="center" wrapText="1"/>
    </xf>
    <xf numFmtId="168" fontId="20" fillId="9" borderId="15" xfId="0" applyNumberFormat="1" applyFont="1" applyFill="1" applyBorder="1" applyAlignment="1" applyProtection="1">
      <alignment horizontal="center" vertical="center"/>
    </xf>
    <xf numFmtId="0" fontId="5" fillId="0" borderId="1" xfId="0" applyFont="1" applyBorder="1" applyAlignment="1" applyProtection="1">
      <alignment vertical="center"/>
    </xf>
    <xf numFmtId="0" fontId="5" fillId="0" borderId="31" xfId="0" applyFont="1" applyBorder="1" applyAlignment="1" applyProtection="1">
      <alignment vertical="center"/>
    </xf>
    <xf numFmtId="0" fontId="0" fillId="0" borderId="2" xfId="0" applyBorder="1" applyAlignment="1" applyProtection="1">
      <alignment horizontal="center" vertical="center"/>
    </xf>
    <xf numFmtId="0" fontId="7" fillId="0" borderId="34" xfId="0" applyFont="1" applyBorder="1" applyAlignment="1" applyProtection="1">
      <alignment horizontal="left" vertical="center"/>
    </xf>
    <xf numFmtId="0" fontId="2" fillId="0" borderId="14" xfId="0" applyFont="1" applyBorder="1" applyAlignment="1" applyProtection="1">
      <alignment horizontal="left" vertical="center"/>
    </xf>
    <xf numFmtId="0" fontId="0" fillId="0" borderId="24" xfId="0" applyBorder="1" applyAlignment="1" applyProtection="1">
      <alignment horizontal="center" vertical="center"/>
    </xf>
    <xf numFmtId="0" fontId="5" fillId="0" borderId="36" xfId="0" applyFont="1" applyBorder="1" applyAlignment="1" applyProtection="1">
      <alignment vertical="center"/>
    </xf>
    <xf numFmtId="0" fontId="0" fillId="10" borderId="32" xfId="0" applyFill="1" applyBorder="1" applyAlignment="1" applyProtection="1">
      <alignment horizontal="center" vertical="center"/>
    </xf>
    <xf numFmtId="0" fontId="6" fillId="11" borderId="32" xfId="0" applyFont="1" applyFill="1" applyBorder="1" applyAlignment="1" applyProtection="1">
      <alignment horizontal="center" vertical="center" wrapText="1"/>
    </xf>
    <xf numFmtId="0" fontId="6" fillId="12" borderId="32" xfId="0" applyFont="1" applyFill="1" applyBorder="1" applyAlignment="1" applyProtection="1">
      <alignment horizontal="center" vertical="center" wrapText="1"/>
    </xf>
    <xf numFmtId="0" fontId="6" fillId="13" borderId="32" xfId="0" applyFont="1" applyFill="1" applyBorder="1" applyAlignment="1" applyProtection="1">
      <alignment horizontal="center" vertical="center" wrapText="1"/>
    </xf>
    <xf numFmtId="0" fontId="5" fillId="0" borderId="35" xfId="0" applyFont="1" applyBorder="1" applyAlignment="1" applyProtection="1">
      <alignment vertical="center"/>
    </xf>
    <xf numFmtId="0" fontId="5" fillId="0" borderId="3" xfId="0" applyFont="1" applyBorder="1" applyAlignment="1" applyProtection="1">
      <alignment vertical="center"/>
    </xf>
    <xf numFmtId="0" fontId="6" fillId="14" borderId="32" xfId="0" applyFont="1" applyFill="1" applyBorder="1" applyAlignment="1" applyProtection="1">
      <alignment horizontal="center" vertical="center" wrapText="1"/>
    </xf>
    <xf numFmtId="0" fontId="6" fillId="15" borderId="30" xfId="0" applyFont="1" applyFill="1" applyBorder="1" applyAlignment="1" applyProtection="1">
      <alignment horizontal="center" vertical="center" wrapText="1"/>
    </xf>
    <xf numFmtId="0" fontId="20" fillId="9" borderId="16" xfId="0" applyFont="1" applyFill="1" applyBorder="1" applyAlignment="1" applyProtection="1">
      <alignment horizontal="center" vertical="center" wrapText="1"/>
    </xf>
    <xf numFmtId="168" fontId="20" fillId="9" borderId="16" xfId="0" applyNumberFormat="1" applyFont="1" applyFill="1" applyBorder="1" applyAlignment="1" applyProtection="1">
      <alignment horizontal="center" vertical="center"/>
    </xf>
    <xf numFmtId="0" fontId="20" fillId="8" borderId="16" xfId="0" applyFont="1" applyFill="1" applyBorder="1" applyAlignment="1" applyProtection="1">
      <alignment horizontal="center" vertical="center"/>
    </xf>
    <xf numFmtId="0" fontId="20" fillId="9" borderId="2" xfId="0" applyFont="1" applyFill="1" applyBorder="1" applyAlignment="1" applyProtection="1">
      <alignment horizontal="center" vertical="center" wrapText="1"/>
    </xf>
    <xf numFmtId="168" fontId="20" fillId="9" borderId="2" xfId="0" applyNumberFormat="1" applyFont="1" applyFill="1" applyBorder="1" applyAlignment="1" applyProtection="1">
      <alignment horizontal="center" vertical="center"/>
    </xf>
    <xf numFmtId="0" fontId="20" fillId="9" borderId="1" xfId="0" applyFont="1" applyFill="1" applyBorder="1" applyAlignment="1" applyProtection="1">
      <alignment horizontal="center" vertical="center" wrapText="1"/>
    </xf>
    <xf numFmtId="168" fontId="20" fillId="9" borderId="1" xfId="0" applyNumberFormat="1" applyFont="1" applyFill="1" applyBorder="1" applyAlignment="1" applyProtection="1">
      <alignment horizontal="center" vertical="center"/>
    </xf>
    <xf numFmtId="0" fontId="20" fillId="10" borderId="34" xfId="0" applyNumberFormat="1" applyFont="1" applyFill="1" applyBorder="1" applyAlignment="1" applyProtection="1">
      <alignment horizontal="center" vertical="center" wrapText="1"/>
    </xf>
    <xf numFmtId="0" fontId="20" fillId="9" borderId="14" xfId="0" applyNumberFormat="1" applyFont="1" applyFill="1" applyBorder="1" applyAlignment="1" applyProtection="1">
      <alignment horizontal="center" vertical="center" wrapText="1"/>
    </xf>
    <xf numFmtId="0" fontId="20" fillId="9" borderId="14" xfId="0" applyNumberFormat="1" applyFont="1" applyFill="1" applyBorder="1" applyAlignment="1" applyProtection="1">
      <alignment horizontal="left" vertical="center" wrapText="1"/>
    </xf>
    <xf numFmtId="0" fontId="20" fillId="9" borderId="3" xfId="0" applyFont="1" applyFill="1" applyBorder="1" applyAlignment="1" applyProtection="1">
      <alignment horizontal="center" vertical="center" wrapText="1"/>
    </xf>
    <xf numFmtId="168" fontId="20" fillId="9" borderId="3" xfId="0" applyNumberFormat="1" applyFont="1" applyFill="1" applyBorder="1" applyAlignment="1" applyProtection="1">
      <alignment horizontal="center" vertical="center"/>
    </xf>
    <xf numFmtId="0" fontId="20" fillId="10" borderId="37" xfId="0" applyNumberFormat="1" applyFont="1" applyFill="1" applyBorder="1" applyAlignment="1" applyProtection="1">
      <alignment horizontal="center" vertical="center" wrapText="1"/>
    </xf>
    <xf numFmtId="0" fontId="20" fillId="9" borderId="16" xfId="0" applyNumberFormat="1" applyFont="1" applyFill="1" applyBorder="1" applyAlignment="1" applyProtection="1">
      <alignment horizontal="center" vertical="center" wrapText="1"/>
    </xf>
    <xf numFmtId="0" fontId="20" fillId="9" borderId="16" xfId="0" applyNumberFormat="1" applyFont="1" applyFill="1" applyBorder="1" applyAlignment="1" applyProtection="1">
      <alignment horizontal="left" vertical="center" wrapText="1"/>
    </xf>
    <xf numFmtId="0" fontId="20" fillId="9" borderId="2" xfId="0" applyNumberFormat="1" applyFont="1" applyFill="1" applyBorder="1" applyAlignment="1" applyProtection="1">
      <alignment horizontal="center" vertical="center" wrapText="1"/>
    </xf>
    <xf numFmtId="0" fontId="20" fillId="9" borderId="23" xfId="0" applyFont="1" applyFill="1" applyBorder="1" applyAlignment="1" applyProtection="1">
      <alignment horizontal="center" vertical="center" wrapText="1"/>
    </xf>
    <xf numFmtId="168" fontId="20" fillId="9" borderId="23" xfId="0" applyNumberFormat="1" applyFont="1" applyFill="1" applyBorder="1" applyAlignment="1" applyProtection="1">
      <alignment horizontal="center" vertical="center"/>
    </xf>
    <xf numFmtId="0" fontId="20" fillId="8" borderId="23" xfId="0" applyFont="1" applyFill="1" applyBorder="1" applyAlignment="1" applyProtection="1">
      <alignment horizontal="center" vertical="center"/>
    </xf>
    <xf numFmtId="0" fontId="20" fillId="9" borderId="1" xfId="0" applyNumberFormat="1" applyFont="1" applyFill="1" applyBorder="1" applyAlignment="1" applyProtection="1">
      <alignment horizontal="center" vertical="center" wrapText="1"/>
    </xf>
    <xf numFmtId="0" fontId="20" fillId="10" borderId="38" xfId="0" applyNumberFormat="1" applyFont="1" applyFill="1" applyBorder="1" applyAlignment="1" applyProtection="1">
      <alignment horizontal="center" vertical="center" wrapText="1"/>
    </xf>
    <xf numFmtId="0" fontId="20" fillId="9" borderId="2" xfId="0" applyNumberFormat="1" applyFont="1" applyFill="1" applyBorder="1" applyAlignment="1" applyProtection="1">
      <alignment horizontal="left" vertical="center" wrapText="1"/>
    </xf>
    <xf numFmtId="0" fontId="20" fillId="9" borderId="3" xfId="0" applyNumberFormat="1" applyFont="1" applyFill="1" applyBorder="1" applyAlignment="1" applyProtection="1">
      <alignment horizontal="center" vertical="center" wrapText="1"/>
    </xf>
    <xf numFmtId="0" fontId="20" fillId="10" borderId="39" xfId="0" applyNumberFormat="1" applyFont="1" applyFill="1" applyBorder="1" applyAlignment="1" applyProtection="1">
      <alignment horizontal="center" vertical="center" wrapText="1"/>
    </xf>
    <xf numFmtId="0" fontId="20" fillId="9" borderId="20" xfId="0" applyNumberFormat="1" applyFont="1" applyFill="1" applyBorder="1" applyAlignment="1" applyProtection="1">
      <alignment horizontal="center" vertical="center" wrapText="1"/>
    </xf>
    <xf numFmtId="0" fontId="20" fillId="9" borderId="20" xfId="0" applyNumberFormat="1" applyFont="1" applyFill="1" applyBorder="1" applyAlignment="1" applyProtection="1">
      <alignment horizontal="left" vertical="center" wrapText="1"/>
    </xf>
    <xf numFmtId="0" fontId="20" fillId="9" borderId="20" xfId="0" applyFont="1" applyFill="1" applyBorder="1" applyAlignment="1" applyProtection="1">
      <alignment horizontal="center" vertical="center" wrapText="1"/>
    </xf>
    <xf numFmtId="168" fontId="20" fillId="9" borderId="20" xfId="0" applyNumberFormat="1" applyFont="1" applyFill="1" applyBorder="1" applyAlignment="1" applyProtection="1">
      <alignment horizontal="center" vertical="center"/>
    </xf>
    <xf numFmtId="0" fontId="20" fillId="8" borderId="20" xfId="0" applyFont="1" applyFill="1" applyBorder="1" applyAlignment="1" applyProtection="1">
      <alignment horizontal="center" vertical="center"/>
    </xf>
    <xf numFmtId="0" fontId="20" fillId="9" borderId="23" xfId="0" applyNumberFormat="1" applyFont="1" applyFill="1" applyBorder="1" applyAlignment="1" applyProtection="1">
      <alignment horizontal="center" vertical="center" wrapText="1"/>
    </xf>
    <xf numFmtId="0" fontId="12" fillId="16" borderId="35" xfId="0" applyFont="1" applyFill="1" applyBorder="1" applyAlignment="1" applyProtection="1">
      <alignment horizontal="center" vertical="center" wrapText="1"/>
    </xf>
    <xf numFmtId="0" fontId="13" fillId="16" borderId="3" xfId="0" applyFont="1" applyFill="1" applyBorder="1" applyAlignment="1" applyProtection="1">
      <alignment horizontal="center" vertical="center" wrapText="1"/>
    </xf>
    <xf numFmtId="0" fontId="17" fillId="16" borderId="3" xfId="0" applyFont="1" applyFill="1" applyBorder="1" applyAlignment="1" applyProtection="1">
      <alignment horizontal="center" vertical="center" wrapText="1"/>
    </xf>
    <xf numFmtId="0" fontId="10" fillId="16" borderId="3" xfId="0" applyFont="1" applyFill="1" applyBorder="1" applyAlignment="1" applyProtection="1">
      <alignment horizontal="center" vertical="center" wrapText="1"/>
    </xf>
    <xf numFmtId="0" fontId="11" fillId="16" borderId="3" xfId="0" applyFont="1" applyFill="1" applyBorder="1" applyAlignment="1" applyProtection="1">
      <alignment horizontal="center" vertical="center" wrapText="1"/>
    </xf>
    <xf numFmtId="165" fontId="0" fillId="0" borderId="16" xfId="4" applyNumberFormat="1" applyFont="1" applyBorder="1" applyAlignment="1" applyProtection="1">
      <alignment vertical="center"/>
    </xf>
    <xf numFmtId="165" fontId="0" fillId="0" borderId="1" xfId="4" applyNumberFormat="1" applyFont="1" applyBorder="1" applyAlignment="1" applyProtection="1">
      <alignment vertical="center"/>
    </xf>
    <xf numFmtId="10" fontId="0" fillId="0" borderId="0" xfId="0" applyNumberFormat="1" applyAlignment="1" applyProtection="1">
      <alignment horizontal="center" vertical="center" wrapText="1"/>
    </xf>
    <xf numFmtId="0" fontId="3" fillId="0" borderId="0" xfId="0" applyNumberFormat="1" applyFont="1" applyAlignment="1" applyProtection="1">
      <alignment horizontal="center" vertical="center" wrapText="1"/>
    </xf>
    <xf numFmtId="9" fontId="3" fillId="0" borderId="0" xfId="4" applyFont="1" applyFill="1" applyAlignment="1" applyProtection="1">
      <alignment horizontal="center" vertical="center" wrapText="1"/>
    </xf>
    <xf numFmtId="10" fontId="0" fillId="0" borderId="1" xfId="4" applyNumberFormat="1" applyFont="1" applyFill="1" applyBorder="1" applyAlignment="1" applyProtection="1">
      <alignment vertical="center" wrapText="1"/>
    </xf>
    <xf numFmtId="10" fontId="0" fillId="0" borderId="1" xfId="4"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0" fontId="20" fillId="8" borderId="40" xfId="0" applyFont="1" applyFill="1" applyBorder="1" applyAlignment="1" applyProtection="1">
      <alignment horizontal="center" vertical="center"/>
    </xf>
    <xf numFmtId="0" fontId="20" fillId="8" borderId="31" xfId="0" applyFont="1" applyFill="1" applyBorder="1" applyAlignment="1" applyProtection="1">
      <alignment horizontal="center" vertical="center"/>
    </xf>
    <xf numFmtId="0" fontId="20" fillId="8" borderId="17" xfId="0" applyFont="1" applyFill="1" applyBorder="1" applyAlignment="1" applyProtection="1">
      <alignment horizontal="center" vertical="center"/>
    </xf>
    <xf numFmtId="10" fontId="0" fillId="0" borderId="14" xfId="4" applyNumberFormat="1" applyFont="1" applyFill="1" applyBorder="1" applyAlignment="1" applyProtection="1">
      <alignment vertical="center" wrapText="1"/>
    </xf>
    <xf numFmtId="165" fontId="0" fillId="0" borderId="23" xfId="4" applyNumberFormat="1" applyFont="1" applyBorder="1" applyAlignment="1" applyProtection="1">
      <alignment vertical="center"/>
    </xf>
    <xf numFmtId="10" fontId="0" fillId="0" borderId="23" xfId="4" applyNumberFormat="1" applyFont="1" applyFill="1" applyBorder="1" applyAlignment="1" applyProtection="1">
      <alignment vertical="center" wrapText="1"/>
    </xf>
    <xf numFmtId="165" fontId="0" fillId="0" borderId="15" xfId="4" applyNumberFormat="1" applyFont="1" applyBorder="1" applyAlignment="1" applyProtection="1">
      <alignment vertical="center"/>
    </xf>
    <xf numFmtId="10" fontId="0" fillId="0" borderId="15" xfId="4" applyNumberFormat="1" applyFont="1" applyFill="1" applyBorder="1" applyAlignment="1" applyProtection="1">
      <alignment vertical="center" wrapText="1"/>
    </xf>
    <xf numFmtId="10" fontId="0" fillId="0" borderId="16" xfId="4" applyNumberFormat="1" applyFont="1" applyFill="1" applyBorder="1" applyAlignment="1" applyProtection="1">
      <alignment vertical="center" wrapText="1"/>
    </xf>
    <xf numFmtId="0" fontId="20" fillId="8" borderId="41" xfId="0"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wrapText="1"/>
    </xf>
    <xf numFmtId="165" fontId="0" fillId="0" borderId="0" xfId="4" applyNumberFormat="1" applyFont="1" applyAlignment="1" applyProtection="1">
      <alignment horizontal="center"/>
    </xf>
    <xf numFmtId="10" fontId="0" fillId="0" borderId="0" xfId="4" applyNumberFormat="1" applyFont="1" applyAlignment="1" applyProtection="1">
      <alignment horizontal="center"/>
    </xf>
    <xf numFmtId="10" fontId="0" fillId="0" borderId="15" xfId="4" applyNumberFormat="1" applyFont="1" applyFill="1" applyBorder="1" applyAlignment="1" applyProtection="1">
      <alignment horizontal="center" vertical="center" wrapText="1"/>
    </xf>
    <xf numFmtId="2" fontId="0" fillId="0" borderId="15" xfId="4" applyNumberFormat="1" applyFont="1" applyFill="1" applyBorder="1" applyAlignment="1" applyProtection="1">
      <alignment vertical="center" wrapText="1"/>
    </xf>
    <xf numFmtId="2" fontId="0" fillId="0" borderId="42" xfId="4" applyNumberFormat="1" applyFont="1" applyFill="1" applyBorder="1" applyAlignment="1" applyProtection="1">
      <alignment vertical="center" wrapText="1"/>
    </xf>
    <xf numFmtId="2" fontId="0" fillId="0" borderId="1" xfId="4" applyNumberFormat="1" applyFont="1" applyFill="1" applyBorder="1" applyAlignment="1" applyProtection="1">
      <alignment vertical="center" wrapText="1"/>
    </xf>
    <xf numFmtId="0" fontId="0" fillId="0" borderId="15" xfId="0" applyFill="1" applyBorder="1" applyAlignment="1" applyProtection="1">
      <alignment horizontal="center" vertical="center" wrapText="1"/>
    </xf>
    <xf numFmtId="9" fontId="0" fillId="0" borderId="43" xfId="4" applyFont="1" applyFill="1" applyBorder="1" applyAlignment="1" applyProtection="1">
      <alignment horizontal="center" vertical="center"/>
    </xf>
    <xf numFmtId="10" fontId="0" fillId="0" borderId="15" xfId="4" applyNumberFormat="1" applyFont="1" applyFill="1" applyBorder="1" applyAlignment="1" applyProtection="1">
      <alignment horizontal="center" vertical="center"/>
    </xf>
    <xf numFmtId="10" fontId="0" fillId="0" borderId="16" xfId="4" applyNumberFormat="1" applyFont="1" applyFill="1" applyBorder="1" applyAlignment="1" applyProtection="1">
      <alignment horizontal="center" vertical="center"/>
    </xf>
    <xf numFmtId="2" fontId="0" fillId="0" borderId="14" xfId="4" applyNumberFormat="1" applyFont="1" applyFill="1" applyBorder="1" applyAlignment="1" applyProtection="1">
      <alignment vertical="center" wrapText="1"/>
    </xf>
    <xf numFmtId="2" fontId="0" fillId="0" borderId="16" xfId="4" applyNumberFormat="1" applyFont="1" applyFill="1" applyBorder="1" applyAlignment="1" applyProtection="1">
      <alignment vertical="center" wrapText="1"/>
    </xf>
    <xf numFmtId="9" fontId="0" fillId="0" borderId="44" xfId="4" applyFont="1" applyFill="1" applyBorder="1" applyAlignment="1" applyProtection="1">
      <alignment horizontal="center" vertical="center"/>
    </xf>
    <xf numFmtId="0" fontId="0" fillId="0" borderId="16" xfId="0" applyFill="1" applyBorder="1" applyAlignment="1" applyProtection="1">
      <alignment horizontal="center" vertical="center" wrapText="1"/>
    </xf>
    <xf numFmtId="2" fontId="0" fillId="0" borderId="23" xfId="4" applyNumberFormat="1" applyFont="1" applyFill="1" applyBorder="1" applyAlignment="1" applyProtection="1">
      <alignment vertical="center" wrapText="1"/>
    </xf>
    <xf numFmtId="2" fontId="3" fillId="0" borderId="42" xfId="0"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wrapText="1"/>
    </xf>
    <xf numFmtId="10" fontId="5" fillId="0" borderId="42" xfId="4" applyNumberFormat="1" applyFont="1" applyFill="1" applyBorder="1" applyAlignment="1" applyProtection="1">
      <alignment vertical="center" wrapText="1"/>
    </xf>
    <xf numFmtId="0" fontId="3" fillId="0" borderId="42" xfId="0" applyFont="1" applyFill="1" applyBorder="1" applyAlignment="1" applyProtection="1">
      <alignment horizontal="center" vertical="center" wrapText="1"/>
    </xf>
    <xf numFmtId="0" fontId="20" fillId="8" borderId="45" xfId="0" applyFont="1" applyFill="1" applyBorder="1" applyAlignment="1" applyProtection="1">
      <alignment horizontal="center" vertical="center"/>
    </xf>
    <xf numFmtId="10" fontId="3" fillId="0" borderId="42" xfId="4" applyNumberFormat="1" applyFont="1" applyBorder="1" applyAlignment="1" applyProtection="1">
      <alignment horizontal="center" vertical="center"/>
    </xf>
    <xf numFmtId="10" fontId="3" fillId="0" borderId="42" xfId="4" applyNumberFormat="1" applyFont="1" applyFill="1" applyBorder="1" applyAlignment="1" applyProtection="1">
      <alignment horizontal="center" vertical="center"/>
    </xf>
    <xf numFmtId="10" fontId="3" fillId="0" borderId="46" xfId="4" applyNumberFormat="1" applyFont="1" applyBorder="1" applyAlignment="1" applyProtection="1">
      <alignment horizontal="center" vertical="center"/>
    </xf>
    <xf numFmtId="10" fontId="3" fillId="0" borderId="47" xfId="0" applyNumberFormat="1" applyFont="1" applyFill="1" applyBorder="1" applyAlignment="1" applyProtection="1">
      <alignment horizontal="center" vertical="center"/>
    </xf>
    <xf numFmtId="10" fontId="3" fillId="0" borderId="3" xfId="4" applyNumberFormat="1" applyFont="1" applyFill="1" applyBorder="1" applyAlignment="1" applyProtection="1">
      <alignment horizontal="center" vertical="center"/>
    </xf>
    <xf numFmtId="10" fontId="3" fillId="0" borderId="1" xfId="4" applyNumberFormat="1" applyFont="1" applyFill="1" applyBorder="1" applyAlignment="1" applyProtection="1">
      <alignment horizontal="center" vertical="center"/>
    </xf>
    <xf numFmtId="10" fontId="0" fillId="0" borderId="20" xfId="4" applyNumberFormat="1" applyFont="1" applyFill="1" applyBorder="1" applyAlignment="1" applyProtection="1">
      <alignment horizontal="center" vertical="center" wrapText="1"/>
    </xf>
    <xf numFmtId="10" fontId="0" fillId="0" borderId="20" xfId="4" applyNumberFormat="1" applyFont="1" applyFill="1" applyBorder="1" applyAlignment="1" applyProtection="1">
      <alignment vertical="center" wrapText="1"/>
    </xf>
    <xf numFmtId="2" fontId="0" fillId="0" borderId="20" xfId="4" applyNumberFormat="1" applyFont="1" applyFill="1" applyBorder="1" applyAlignment="1" applyProtection="1">
      <alignment vertical="center" wrapText="1"/>
    </xf>
    <xf numFmtId="10" fontId="0" fillId="0" borderId="20" xfId="4" applyNumberFormat="1" applyFont="1" applyFill="1" applyBorder="1" applyAlignment="1" applyProtection="1">
      <alignment horizontal="center" vertical="center"/>
    </xf>
    <xf numFmtId="0" fontId="0" fillId="0" borderId="20" xfId="0" applyFill="1" applyBorder="1" applyAlignment="1" applyProtection="1">
      <alignment horizontal="center" vertical="center" wrapText="1"/>
    </xf>
    <xf numFmtId="9" fontId="0" fillId="0" borderId="48" xfId="4" applyFont="1" applyFill="1" applyBorder="1" applyAlignment="1" applyProtection="1">
      <alignment horizontal="center" vertical="center"/>
    </xf>
    <xf numFmtId="0" fontId="29" fillId="17" borderId="3" xfId="0" applyFont="1" applyFill="1" applyBorder="1" applyAlignment="1" applyProtection="1">
      <alignment horizontal="center" vertical="center" wrapText="1"/>
    </xf>
    <xf numFmtId="2" fontId="29" fillId="17" borderId="3" xfId="0" applyNumberFormat="1" applyFont="1" applyFill="1" applyBorder="1" applyAlignment="1" applyProtection="1">
      <alignment horizontal="center" vertical="center" wrapText="1"/>
    </xf>
    <xf numFmtId="10" fontId="29" fillId="17" borderId="3" xfId="0" applyNumberFormat="1" applyFont="1" applyFill="1" applyBorder="1" applyAlignment="1" applyProtection="1">
      <alignment horizontal="center" vertical="center" wrapText="1"/>
    </xf>
    <xf numFmtId="10" fontId="29" fillId="17" borderId="3" xfId="4" applyNumberFormat="1" applyFont="1" applyFill="1" applyBorder="1" applyAlignment="1" applyProtection="1">
      <alignment horizontal="center" vertical="center" wrapText="1"/>
    </xf>
    <xf numFmtId="10" fontId="29" fillId="17" borderId="30" xfId="0" applyNumberFormat="1" applyFont="1" applyFill="1" applyBorder="1" applyAlignment="1" applyProtection="1">
      <alignment horizontal="center" vertical="center" wrapText="1"/>
    </xf>
    <xf numFmtId="0" fontId="29" fillId="17" borderId="49" xfId="0" applyFont="1" applyFill="1" applyBorder="1" applyAlignment="1" applyProtection="1">
      <alignment horizontal="center" vertical="center" wrapText="1"/>
    </xf>
    <xf numFmtId="0" fontId="20" fillId="18" borderId="2" xfId="0" applyFont="1" applyFill="1" applyBorder="1" applyAlignment="1" applyProtection="1">
      <alignment horizontal="center" vertical="center" wrapText="1"/>
      <protection locked="0"/>
    </xf>
    <xf numFmtId="0" fontId="20" fillId="18" borderId="14" xfId="0" applyFont="1" applyFill="1" applyBorder="1" applyAlignment="1" applyProtection="1">
      <alignment horizontal="center" vertical="center" wrapText="1"/>
      <protection locked="0"/>
    </xf>
    <xf numFmtId="0" fontId="20" fillId="18" borderId="16" xfId="0" applyFont="1" applyFill="1" applyBorder="1" applyAlignment="1" applyProtection="1">
      <alignment horizontal="center" vertical="center" wrapText="1"/>
      <protection locked="0"/>
    </xf>
    <xf numFmtId="0" fontId="20" fillId="18" borderId="1" xfId="0" applyFont="1" applyFill="1" applyBorder="1" applyAlignment="1" applyProtection="1">
      <alignment horizontal="center" vertical="center" wrapText="1"/>
      <protection locked="0"/>
    </xf>
    <xf numFmtId="0" fontId="20" fillId="18" borderId="3" xfId="0" applyFont="1" applyFill="1" applyBorder="1" applyAlignment="1" applyProtection="1">
      <alignment horizontal="center" vertical="center" wrapText="1"/>
      <protection locked="0"/>
    </xf>
    <xf numFmtId="0" fontId="20" fillId="18" borderId="23" xfId="0" applyFont="1" applyFill="1" applyBorder="1" applyAlignment="1" applyProtection="1">
      <alignment horizontal="center" vertical="center" wrapText="1"/>
      <protection locked="0"/>
    </xf>
    <xf numFmtId="0" fontId="20" fillId="18" borderId="20" xfId="0" applyFont="1" applyFill="1" applyBorder="1" applyAlignment="1" applyProtection="1">
      <alignment horizontal="center" vertical="center" wrapText="1"/>
      <protection locked="0"/>
    </xf>
    <xf numFmtId="0" fontId="20" fillId="18" borderId="15" xfId="0" applyFont="1" applyFill="1" applyBorder="1" applyAlignment="1" applyProtection="1">
      <alignment horizontal="center" vertical="center" wrapText="1"/>
      <protection locked="0"/>
    </xf>
    <xf numFmtId="0" fontId="25" fillId="0" borderId="0" xfId="0" applyFont="1" applyBorder="1" applyAlignment="1" applyProtection="1">
      <alignment horizontal="left"/>
    </xf>
    <xf numFmtId="0" fontId="22" fillId="0" borderId="0" xfId="0" applyFont="1" applyBorder="1" applyAlignment="1" applyProtection="1">
      <alignment vertical="center"/>
    </xf>
    <xf numFmtId="0" fontId="22" fillId="0" borderId="4" xfId="0" applyFont="1" applyBorder="1" applyAlignment="1" applyProtection="1">
      <alignment vertical="center"/>
    </xf>
    <xf numFmtId="0" fontId="20" fillId="0" borderId="0" xfId="0" applyFont="1" applyAlignment="1" applyProtection="1">
      <alignment horizontal="center" vertical="center"/>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10" fontId="20" fillId="0" borderId="0" xfId="0" applyNumberFormat="1" applyFont="1" applyAlignment="1" applyProtection="1">
      <alignment horizontal="center" vertical="center" wrapText="1"/>
    </xf>
    <xf numFmtId="9" fontId="20" fillId="0" borderId="0" xfId="0" applyNumberFormat="1" applyFont="1" applyAlignment="1" applyProtection="1">
      <alignment horizontal="center" vertical="center"/>
    </xf>
    <xf numFmtId="10" fontId="20" fillId="0" borderId="0" xfId="4" applyNumberFormat="1" applyFont="1" applyAlignment="1" applyProtection="1">
      <alignment horizontal="center" vertical="center"/>
    </xf>
    <xf numFmtId="0" fontId="30" fillId="17" borderId="51" xfId="0" applyFont="1" applyFill="1" applyBorder="1" applyAlignment="1" applyProtection="1">
      <alignment horizontal="center" vertical="center" wrapText="1"/>
    </xf>
    <xf numFmtId="0" fontId="20" fillId="20" borderId="14" xfId="0" applyFont="1" applyFill="1" applyBorder="1" applyAlignment="1" applyProtection="1">
      <alignment horizontal="center" vertical="center" wrapText="1"/>
    </xf>
    <xf numFmtId="168" fontId="20" fillId="20" borderId="14" xfId="0" applyNumberFormat="1" applyFont="1" applyFill="1" applyBorder="1" applyAlignment="1" applyProtection="1">
      <alignment horizontal="center" vertical="center"/>
    </xf>
    <xf numFmtId="0" fontId="20" fillId="20" borderId="3" xfId="0" applyFont="1" applyFill="1" applyBorder="1" applyAlignment="1" applyProtection="1">
      <alignment horizontal="center" vertical="center" wrapText="1"/>
    </xf>
    <xf numFmtId="168" fontId="20" fillId="20" borderId="3" xfId="0" applyNumberFormat="1" applyFont="1" applyFill="1" applyBorder="1" applyAlignment="1" applyProtection="1">
      <alignment horizontal="center" vertical="center"/>
    </xf>
    <xf numFmtId="0" fontId="20" fillId="20" borderId="1" xfId="0" applyFont="1" applyFill="1" applyBorder="1" applyAlignment="1" applyProtection="1">
      <alignment horizontal="center" vertical="center" wrapText="1"/>
    </xf>
    <xf numFmtId="168" fontId="20" fillId="20" borderId="1" xfId="0" applyNumberFormat="1" applyFont="1" applyFill="1" applyBorder="1" applyAlignment="1" applyProtection="1">
      <alignment horizontal="center" vertical="center"/>
    </xf>
    <xf numFmtId="0" fontId="29" fillId="17" borderId="23" xfId="0" applyFont="1" applyFill="1" applyBorder="1" applyAlignment="1" applyProtection="1">
      <alignment horizontal="center" vertical="center" wrapText="1"/>
    </xf>
    <xf numFmtId="0" fontId="30" fillId="17" borderId="23" xfId="0" applyFont="1" applyFill="1" applyBorder="1" applyAlignment="1" applyProtection="1">
      <alignment horizontal="center" vertical="center" wrapText="1"/>
    </xf>
    <xf numFmtId="0" fontId="8" fillId="0" borderId="0" xfId="0" applyFont="1" applyBorder="1" applyAlignment="1" applyProtection="1">
      <alignment horizontal="left" vertical="center"/>
    </xf>
    <xf numFmtId="0" fontId="8" fillId="0" borderId="4" xfId="0" applyFont="1" applyBorder="1" applyAlignment="1" applyProtection="1">
      <alignment horizontal="left" vertical="center"/>
    </xf>
    <xf numFmtId="0" fontId="0" fillId="0" borderId="0" xfId="0" applyAlignment="1" applyProtection="1">
      <alignment horizontal="left" vertical="center"/>
    </xf>
    <xf numFmtId="0" fontId="29" fillId="17" borderId="22" xfId="0" applyFont="1" applyFill="1" applyBorder="1" applyAlignment="1" applyProtection="1">
      <alignment horizontal="center" vertical="center" wrapText="1"/>
    </xf>
    <xf numFmtId="0" fontId="30" fillId="17" borderId="8"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7" fillId="5" borderId="38" xfId="0" applyFont="1" applyFill="1" applyBorder="1" applyAlignment="1" applyProtection="1">
      <alignment horizontal="left" vertical="center"/>
    </xf>
    <xf numFmtId="0" fontId="24" fillId="12" borderId="36" xfId="0" applyFont="1" applyFill="1" applyBorder="1" applyAlignment="1" applyProtection="1">
      <alignment horizontal="center" vertical="center" wrapText="1"/>
    </xf>
    <xf numFmtId="0" fontId="24" fillId="11" borderId="36"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0" fontId="24" fillId="22" borderId="36" xfId="0" applyFont="1" applyFill="1" applyBorder="1" applyAlignment="1" applyProtection="1">
      <alignment horizontal="center" vertical="center" wrapText="1"/>
    </xf>
    <xf numFmtId="0" fontId="24" fillId="23" borderId="36" xfId="0" applyFont="1" applyFill="1" applyBorder="1" applyAlignment="1" applyProtection="1">
      <alignment horizontal="center" vertical="center" wrapText="1"/>
    </xf>
    <xf numFmtId="0" fontId="24" fillId="18" borderId="35" xfId="0"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5" fillId="0" borderId="0" xfId="0" applyFont="1" applyBorder="1" applyAlignment="1" applyProtection="1">
      <alignment horizontal="left" vertical="center"/>
    </xf>
    <xf numFmtId="0" fontId="26" fillId="0" borderId="10" xfId="0" applyFont="1" applyBorder="1" applyAlignment="1" applyProtection="1">
      <alignment vertical="center"/>
    </xf>
    <xf numFmtId="0" fontId="26" fillId="0" borderId="0" xfId="0" applyFont="1" applyBorder="1" applyAlignment="1" applyProtection="1">
      <alignment horizontal="left" vertical="center"/>
    </xf>
    <xf numFmtId="0" fontId="26" fillId="0" borderId="0" xfId="0" applyFont="1" applyBorder="1" applyAlignment="1" applyProtection="1">
      <alignment vertical="center"/>
    </xf>
    <xf numFmtId="0" fontId="26" fillId="26" borderId="5" xfId="0" applyFont="1" applyFill="1" applyBorder="1" applyAlignment="1" applyProtection="1">
      <alignment vertical="center"/>
    </xf>
    <xf numFmtId="0" fontId="25" fillId="26" borderId="0" xfId="0" applyFont="1" applyFill="1" applyBorder="1" applyAlignment="1" applyProtection="1">
      <alignment horizontal="left" vertical="center"/>
    </xf>
    <xf numFmtId="167" fontId="25" fillId="26" borderId="4" xfId="0" applyNumberFormat="1" applyFont="1" applyFill="1" applyBorder="1" applyAlignment="1" applyProtection="1">
      <alignment horizontal="center" vertical="center"/>
    </xf>
    <xf numFmtId="0" fontId="27" fillId="26" borderId="8" xfId="0" applyFont="1" applyFill="1" applyBorder="1" applyAlignment="1" applyProtection="1">
      <alignment horizontal="center" vertical="center" wrapText="1"/>
    </xf>
    <xf numFmtId="0" fontId="27" fillId="26" borderId="23" xfId="0" applyFont="1" applyFill="1" applyBorder="1" applyAlignment="1" applyProtection="1">
      <alignment horizontal="left" vertical="center" wrapText="1"/>
    </xf>
    <xf numFmtId="0" fontId="10" fillId="26" borderId="14" xfId="0" applyFont="1" applyFill="1" applyBorder="1" applyAlignment="1" applyProtection="1">
      <alignment horizontal="center" vertical="center"/>
    </xf>
    <xf numFmtId="0" fontId="10" fillId="26" borderId="8" xfId="0" applyFont="1" applyFill="1" applyBorder="1" applyAlignment="1" applyProtection="1">
      <alignment horizontal="center" vertical="center" wrapText="1"/>
    </xf>
    <xf numFmtId="0" fontId="23" fillId="26" borderId="23" xfId="0" applyFont="1" applyFill="1" applyBorder="1" applyAlignment="1" applyProtection="1">
      <alignment horizontal="center" vertical="center" wrapText="1"/>
    </xf>
    <xf numFmtId="0" fontId="11" fillId="26" borderId="23" xfId="0" applyFont="1" applyFill="1" applyBorder="1" applyAlignment="1" applyProtection="1">
      <alignment horizontal="center" vertical="center" wrapText="1"/>
    </xf>
    <xf numFmtId="0" fontId="20" fillId="20" borderId="2" xfId="0" applyFont="1" applyFill="1" applyBorder="1" applyAlignment="1" applyProtection="1">
      <alignment horizontal="center" vertical="center" wrapText="1"/>
    </xf>
    <xf numFmtId="168" fontId="20" fillId="20" borderId="2" xfId="0" applyNumberFormat="1" applyFont="1" applyFill="1" applyBorder="1" applyAlignment="1" applyProtection="1">
      <alignment horizontal="center" vertical="center"/>
    </xf>
    <xf numFmtId="0" fontId="20" fillId="20" borderId="23" xfId="0" applyFont="1" applyFill="1" applyBorder="1" applyAlignment="1" applyProtection="1">
      <alignment horizontal="center" vertical="center" wrapText="1"/>
    </xf>
    <xf numFmtId="168" fontId="20" fillId="20" borderId="23" xfId="0" applyNumberFormat="1" applyFont="1" applyFill="1" applyBorder="1" applyAlignment="1" applyProtection="1">
      <alignment horizontal="center" vertical="center"/>
    </xf>
    <xf numFmtId="0" fontId="3" fillId="0" borderId="5"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4" xfId="0" applyFont="1" applyBorder="1" applyAlignment="1" applyProtection="1">
      <alignment horizontal="left" vertical="top"/>
    </xf>
    <xf numFmtId="0" fontId="5" fillId="0" borderId="0" xfId="0" applyFont="1" applyAlignment="1" applyProtection="1">
      <alignment horizontal="left" vertical="top"/>
    </xf>
    <xf numFmtId="0" fontId="22" fillId="0" borderId="0" xfId="0" applyFont="1" applyBorder="1" applyAlignment="1" applyProtection="1">
      <alignment horizontal="left" vertical="top"/>
    </xf>
    <xf numFmtId="0" fontId="22" fillId="0" borderId="4" xfId="0" applyFont="1" applyBorder="1" applyAlignment="1" applyProtection="1">
      <alignment horizontal="left" vertical="top"/>
    </xf>
    <xf numFmtId="0" fontId="20" fillId="20" borderId="14" xfId="0" applyFont="1" applyFill="1" applyBorder="1" applyAlignment="1" applyProtection="1">
      <alignment horizontal="left" vertical="top" wrapText="1"/>
    </xf>
    <xf numFmtId="0" fontId="20" fillId="20" borderId="1" xfId="0" applyFont="1" applyFill="1" applyBorder="1" applyAlignment="1" applyProtection="1">
      <alignment horizontal="left" vertical="top" wrapText="1"/>
    </xf>
    <xf numFmtId="0" fontId="20" fillId="20" borderId="3" xfId="0" applyFont="1" applyFill="1" applyBorder="1" applyAlignment="1" applyProtection="1">
      <alignment horizontal="left" vertical="top" wrapText="1"/>
    </xf>
    <xf numFmtId="0" fontId="20" fillId="20" borderId="2" xfId="0" applyFont="1" applyFill="1" applyBorder="1" applyAlignment="1" applyProtection="1">
      <alignment horizontal="left" vertical="top" wrapText="1"/>
    </xf>
    <xf numFmtId="0" fontId="20" fillId="0" borderId="0" xfId="0" applyFont="1" applyAlignment="1" applyProtection="1">
      <alignment horizontal="left" vertical="top"/>
    </xf>
    <xf numFmtId="0" fontId="30" fillId="17" borderId="22" xfId="0" applyFont="1" applyFill="1" applyBorder="1" applyAlignment="1" applyProtection="1">
      <alignment horizontal="center" vertical="center" wrapText="1"/>
    </xf>
    <xf numFmtId="0" fontId="22" fillId="27" borderId="1" xfId="0" applyNumberFormat="1" applyFont="1" applyFill="1" applyBorder="1" applyAlignment="1" applyProtection="1">
      <alignment horizontal="center" vertical="center" wrapText="1"/>
    </xf>
    <xf numFmtId="165" fontId="20" fillId="0" borderId="0" xfId="4" applyNumberFormat="1" applyFont="1" applyBorder="1" applyAlignment="1" applyProtection="1">
      <alignment horizontal="center" vertical="center"/>
    </xf>
    <xf numFmtId="10" fontId="20" fillId="0" borderId="0" xfId="4" applyNumberFormat="1" applyFont="1" applyBorder="1" applyAlignment="1" applyProtection="1">
      <alignment horizontal="center" vertical="center"/>
    </xf>
    <xf numFmtId="165" fontId="20" fillId="0" borderId="32" xfId="4" applyNumberFormat="1" applyFont="1" applyBorder="1" applyAlignment="1" applyProtection="1">
      <alignment horizontal="center" vertical="center"/>
    </xf>
    <xf numFmtId="0" fontId="22" fillId="27" borderId="3" xfId="0" applyNumberFormat="1" applyFont="1" applyFill="1" applyBorder="1" applyAlignment="1" applyProtection="1">
      <alignment horizontal="center" vertical="center" wrapText="1"/>
    </xf>
    <xf numFmtId="10" fontId="20" fillId="0" borderId="30" xfId="4" applyNumberFormat="1" applyFont="1" applyBorder="1" applyAlignment="1" applyProtection="1">
      <alignment horizontal="center" vertical="center"/>
    </xf>
    <xf numFmtId="0" fontId="25" fillId="0" borderId="0" xfId="0" applyFont="1" applyBorder="1" applyAlignment="1" applyProtection="1"/>
    <xf numFmtId="0" fontId="27" fillId="26" borderId="23" xfId="0" applyFont="1" applyFill="1" applyBorder="1" applyAlignment="1" applyProtection="1">
      <alignment vertical="center" wrapText="1"/>
    </xf>
    <xf numFmtId="0" fontId="20" fillId="20" borderId="23" xfId="0" applyFont="1" applyFill="1" applyBorder="1" applyAlignment="1" applyProtection="1">
      <alignment horizontal="left" vertical="top" wrapText="1"/>
    </xf>
    <xf numFmtId="0" fontId="20" fillId="0" borderId="3" xfId="0" applyFont="1" applyBorder="1" applyAlignment="1" applyProtection="1">
      <alignment horizontal="center" vertical="center"/>
    </xf>
    <xf numFmtId="0" fontId="0" fillId="0" borderId="3" xfId="0" applyBorder="1" applyProtection="1"/>
    <xf numFmtId="0" fontId="0" fillId="0" borderId="30" xfId="0" applyFill="1" applyBorder="1" applyProtection="1"/>
    <xf numFmtId="0" fontId="20" fillId="0" borderId="11" xfId="0" applyFont="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1" xfId="0" applyFont="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35" xfId="0" applyFont="1" applyFill="1" applyBorder="1" applyAlignment="1" applyProtection="1">
      <alignment horizontal="left" vertical="center"/>
    </xf>
    <xf numFmtId="165" fontId="20" fillId="0" borderId="11" xfId="4" applyNumberFormat="1" applyFont="1" applyBorder="1" applyAlignment="1" applyProtection="1">
      <alignment horizontal="center" vertical="center" wrapText="1"/>
    </xf>
    <xf numFmtId="10" fontId="20" fillId="0" borderId="12" xfId="4" applyNumberFormat="1" applyFont="1" applyBorder="1" applyAlignment="1" applyProtection="1">
      <alignment horizontal="center" vertical="center" wrapText="1"/>
    </xf>
    <xf numFmtId="0" fontId="2" fillId="0" borderId="11" xfId="0" applyFont="1" applyBorder="1" applyAlignment="1" applyProtection="1">
      <alignment horizontal="center" vertical="center"/>
    </xf>
    <xf numFmtId="165" fontId="2" fillId="0" borderId="11" xfId="4" applyNumberFormat="1" applyFont="1" applyBorder="1" applyAlignment="1" applyProtection="1">
      <alignment horizontal="center" vertical="center"/>
    </xf>
    <xf numFmtId="10" fontId="20" fillId="0" borderId="12" xfId="4" applyNumberFormat="1" applyFont="1" applyBorder="1" applyAlignment="1" applyProtection="1">
      <alignment horizontal="center" vertical="center"/>
    </xf>
    <xf numFmtId="0" fontId="22" fillId="29" borderId="9" xfId="0" applyFont="1" applyFill="1" applyBorder="1" applyAlignment="1" applyProtection="1">
      <alignment horizontal="center" vertical="center" wrapText="1"/>
    </xf>
    <xf numFmtId="9" fontId="39" fillId="29" borderId="47" xfId="0" applyNumberFormat="1" applyFont="1" applyFill="1" applyBorder="1" applyAlignment="1" applyProtection="1">
      <alignment horizontal="center" vertical="center"/>
    </xf>
    <xf numFmtId="2" fontId="39" fillId="29" borderId="42" xfId="0" applyNumberFormat="1" applyFont="1" applyFill="1" applyBorder="1" applyAlignment="1" applyProtection="1">
      <alignment horizontal="center" vertical="center"/>
    </xf>
    <xf numFmtId="170" fontId="39" fillId="29" borderId="42" xfId="0" applyNumberFormat="1" applyFont="1" applyFill="1" applyBorder="1" applyAlignment="1" applyProtection="1">
      <alignment horizontal="center" vertical="center"/>
    </xf>
    <xf numFmtId="169" fontId="39" fillId="29" borderId="42" xfId="0" applyNumberFormat="1" applyFont="1" applyFill="1" applyBorder="1" applyAlignment="1" applyProtection="1">
      <alignment horizontal="center" vertical="center"/>
    </xf>
    <xf numFmtId="169" fontId="39" fillId="29" borderId="46" xfId="0" applyNumberFormat="1"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xf>
    <xf numFmtId="0" fontId="20" fillId="20" borderId="16" xfId="0" applyFont="1" applyFill="1" applyBorder="1" applyAlignment="1" applyProtection="1">
      <alignment horizontal="left" vertical="top" wrapText="1"/>
    </xf>
    <xf numFmtId="0" fontId="20" fillId="20" borderId="16" xfId="0" applyFont="1" applyFill="1" applyBorder="1" applyAlignment="1" applyProtection="1">
      <alignment horizontal="center" vertical="center" wrapText="1"/>
    </xf>
    <xf numFmtId="168" fontId="20" fillId="20" borderId="16" xfId="0" applyNumberFormat="1" applyFont="1" applyFill="1" applyBorder="1" applyAlignment="1" applyProtection="1">
      <alignment horizontal="center" vertical="center"/>
    </xf>
    <xf numFmtId="0" fontId="26" fillId="0" borderId="13"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26" fillId="0" borderId="6" xfId="0" applyFont="1" applyBorder="1" applyAlignment="1" applyProtection="1">
      <alignment horizontal="center" vertical="center"/>
    </xf>
    <xf numFmtId="0" fontId="25" fillId="26" borderId="0" xfId="0" applyFont="1" applyFill="1" applyAlignment="1" applyProtection="1">
      <alignment horizontal="left" vertical="center"/>
    </xf>
    <xf numFmtId="0" fontId="25" fillId="0" borderId="14" xfId="0" applyFont="1" applyBorder="1" applyAlignment="1" applyProtection="1">
      <alignment vertical="center" wrapText="1"/>
    </xf>
    <xf numFmtId="0" fontId="25" fillId="4" borderId="1" xfId="0" applyFont="1" applyFill="1" applyBorder="1" applyAlignment="1" applyProtection="1">
      <alignment horizontal="left" vertical="center" wrapText="1"/>
    </xf>
    <xf numFmtId="0" fontId="25" fillId="0" borderId="14" xfId="0" applyFont="1" applyBorder="1" applyAlignment="1" applyProtection="1">
      <alignment horizontal="center" vertical="center" wrapText="1"/>
    </xf>
    <xf numFmtId="167" fontId="25" fillId="0" borderId="14" xfId="0" applyNumberFormat="1" applyFont="1" applyBorder="1" applyAlignment="1" applyProtection="1">
      <alignment horizontal="center" vertical="center"/>
    </xf>
    <xf numFmtId="1" fontId="25" fillId="0" borderId="14" xfId="0" applyNumberFormat="1" applyFont="1" applyBorder="1" applyAlignment="1" applyProtection="1">
      <alignment horizontal="center" vertical="center"/>
    </xf>
    <xf numFmtId="0" fontId="25" fillId="0" borderId="1" xfId="0" applyFont="1" applyBorder="1" applyAlignment="1" applyProtection="1">
      <alignment vertical="center" wrapText="1"/>
    </xf>
    <xf numFmtId="167" fontId="25" fillId="0" borderId="1" xfId="0" applyNumberFormat="1" applyFont="1" applyBorder="1" applyAlignment="1" applyProtection="1">
      <alignment horizontal="center" vertical="center"/>
    </xf>
    <xf numFmtId="1" fontId="25" fillId="0" borderId="1" xfId="0" applyNumberFormat="1" applyFont="1" applyBorder="1" applyAlignment="1" applyProtection="1">
      <alignment horizontal="center" vertical="center"/>
    </xf>
    <xf numFmtId="0" fontId="25" fillId="0" borderId="3" xfId="0" applyFont="1" applyBorder="1" applyAlignment="1" applyProtection="1">
      <alignment vertical="center" wrapText="1"/>
    </xf>
    <xf numFmtId="0" fontId="25" fillId="4" borderId="3" xfId="0" applyFont="1" applyFill="1" applyBorder="1" applyAlignment="1" applyProtection="1">
      <alignment horizontal="left" vertical="center" wrapText="1"/>
    </xf>
    <xf numFmtId="167" fontId="25" fillId="0" borderId="3" xfId="0" applyNumberFormat="1" applyFont="1" applyBorder="1" applyAlignment="1" applyProtection="1">
      <alignment horizontal="center" vertical="center"/>
    </xf>
    <xf numFmtId="1" fontId="25" fillId="0" borderId="3" xfId="0" applyNumberFormat="1" applyFont="1" applyBorder="1" applyAlignment="1" applyProtection="1">
      <alignment horizontal="center" vertical="center"/>
    </xf>
    <xf numFmtId="0" fontId="25" fillId="0" borderId="2" xfId="0" applyFont="1" applyBorder="1" applyAlignment="1" applyProtection="1">
      <alignment vertical="center" wrapText="1"/>
    </xf>
    <xf numFmtId="167" fontId="25" fillId="0" borderId="2" xfId="0" applyNumberFormat="1" applyFont="1" applyBorder="1" applyAlignment="1" applyProtection="1">
      <alignment horizontal="center" vertical="center"/>
    </xf>
    <xf numFmtId="1" fontId="25" fillId="0" borderId="2" xfId="0" applyNumberFormat="1"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1"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1" xfId="6" applyNumberFormat="1" applyFont="1" applyFill="1" applyBorder="1" applyAlignment="1" applyProtection="1">
      <alignment horizontal="center" vertical="center" wrapText="1"/>
    </xf>
    <xf numFmtId="0" fontId="25" fillId="0" borderId="2" xfId="0" applyFont="1" applyBorder="1" applyAlignment="1" applyProtection="1">
      <alignment vertical="top" wrapText="1"/>
    </xf>
    <xf numFmtId="0" fontId="25" fillId="0" borderId="2" xfId="0" applyFont="1" applyBorder="1" applyAlignment="1" applyProtection="1">
      <alignment horizontal="left" vertical="center" wrapText="1"/>
    </xf>
    <xf numFmtId="0" fontId="25" fillId="0" borderId="1" xfId="0" applyFont="1" applyBorder="1" applyAlignment="1" applyProtection="1">
      <alignment vertical="top" wrapText="1"/>
    </xf>
    <xf numFmtId="0" fontId="25" fillId="4" borderId="2" xfId="0" applyFont="1" applyFill="1" applyBorder="1" applyAlignment="1" applyProtection="1">
      <alignment vertical="center" wrapText="1"/>
    </xf>
    <xf numFmtId="0" fontId="25" fillId="4" borderId="2" xfId="0" applyFont="1" applyFill="1" applyBorder="1" applyAlignment="1" applyProtection="1">
      <alignment horizontal="left" vertical="center" wrapText="1"/>
    </xf>
    <xf numFmtId="167" fontId="25" fillId="19" borderId="2" xfId="0" applyNumberFormat="1" applyFont="1" applyFill="1" applyBorder="1" applyAlignment="1" applyProtection="1">
      <alignment horizontal="center" vertical="center"/>
    </xf>
    <xf numFmtId="167" fontId="25" fillId="3" borderId="2" xfId="0" applyNumberFormat="1" applyFont="1" applyFill="1" applyBorder="1" applyAlignment="1" applyProtection="1">
      <alignment horizontal="center" vertical="center"/>
    </xf>
    <xf numFmtId="2" fontId="25" fillId="4" borderId="2" xfId="0" applyNumberFormat="1" applyFont="1" applyFill="1" applyBorder="1" applyAlignment="1" applyProtection="1">
      <alignment horizontal="center" vertical="center"/>
    </xf>
    <xf numFmtId="0" fontId="25" fillId="4" borderId="1" xfId="0" applyFont="1" applyFill="1" applyBorder="1" applyAlignment="1" applyProtection="1">
      <alignment vertical="center" wrapText="1"/>
    </xf>
    <xf numFmtId="167" fontId="25" fillId="3" borderId="1" xfId="0" applyNumberFormat="1" applyFont="1" applyFill="1" applyBorder="1" applyAlignment="1" applyProtection="1">
      <alignment horizontal="center" vertical="center"/>
    </xf>
    <xf numFmtId="2" fontId="25" fillId="4" borderId="1" xfId="0" applyNumberFormat="1" applyFont="1" applyFill="1" applyBorder="1" applyAlignment="1" applyProtection="1">
      <alignment horizontal="center" vertical="center"/>
    </xf>
    <xf numFmtId="0" fontId="25" fillId="4" borderId="3" xfId="0" applyFont="1" applyFill="1" applyBorder="1" applyAlignment="1" applyProtection="1">
      <alignment vertical="center" wrapText="1"/>
    </xf>
    <xf numFmtId="167" fontId="25" fillId="19" borderId="3" xfId="0" applyNumberFormat="1" applyFont="1" applyFill="1" applyBorder="1" applyAlignment="1" applyProtection="1">
      <alignment horizontal="center" vertical="center"/>
    </xf>
    <xf numFmtId="2" fontId="25" fillId="4" borderId="3" xfId="0" applyNumberFormat="1" applyFont="1" applyFill="1" applyBorder="1" applyAlignment="1" applyProtection="1">
      <alignment horizontal="center" vertical="center"/>
    </xf>
    <xf numFmtId="0" fontId="28" fillId="4" borderId="2" xfId="0" applyFont="1" applyFill="1" applyBorder="1" applyAlignment="1" applyProtection="1">
      <alignment vertical="center" wrapText="1"/>
    </xf>
    <xf numFmtId="0" fontId="28" fillId="4" borderId="2" xfId="0" applyFont="1" applyFill="1" applyBorder="1" applyAlignment="1" applyProtection="1">
      <alignment horizontal="left" vertical="center" wrapText="1"/>
    </xf>
    <xf numFmtId="168" fontId="25" fillId="3" borderId="2" xfId="0" applyNumberFormat="1" applyFont="1" applyFill="1" applyBorder="1" applyAlignment="1" applyProtection="1">
      <alignment horizontal="center" vertical="center"/>
    </xf>
    <xf numFmtId="0" fontId="28" fillId="4" borderId="1" xfId="0" applyFont="1" applyFill="1" applyBorder="1" applyAlignment="1" applyProtection="1">
      <alignment vertical="center" wrapText="1"/>
    </xf>
    <xf numFmtId="0" fontId="28" fillId="4" borderId="1" xfId="0" applyFont="1" applyFill="1" applyBorder="1" applyAlignment="1" applyProtection="1">
      <alignment horizontal="left" vertical="center" wrapText="1"/>
    </xf>
    <xf numFmtId="168" fontId="25" fillId="3" borderId="1" xfId="0" applyNumberFormat="1" applyFont="1" applyFill="1" applyBorder="1" applyAlignment="1" applyProtection="1">
      <alignment horizontal="center" vertical="center"/>
    </xf>
    <xf numFmtId="0" fontId="25" fillId="4" borderId="14" xfId="0" applyFont="1" applyFill="1" applyBorder="1" applyAlignment="1" applyProtection="1">
      <alignment horizontal="left" vertical="center" wrapText="1"/>
    </xf>
    <xf numFmtId="167" fontId="25" fillId="19" borderId="1" xfId="0" applyNumberFormat="1" applyFont="1" applyFill="1" applyBorder="1" applyAlignment="1" applyProtection="1">
      <alignment horizontal="center" vertical="center"/>
    </xf>
    <xf numFmtId="0" fontId="25" fillId="0" borderId="1" xfId="0" applyFont="1" applyBorder="1" applyAlignment="1" applyProtection="1">
      <alignment horizontal="left" vertical="center"/>
    </xf>
    <xf numFmtId="14" fontId="25" fillId="0" borderId="1" xfId="0" applyNumberFormat="1" applyFont="1" applyBorder="1" applyAlignment="1" applyProtection="1">
      <alignment horizontal="center" vertical="center"/>
    </xf>
    <xf numFmtId="2" fontId="25" fillId="0" borderId="1" xfId="0" applyNumberFormat="1" applyFont="1" applyBorder="1" applyAlignment="1" applyProtection="1">
      <alignment horizontal="center" vertical="center" wrapText="1"/>
    </xf>
    <xf numFmtId="0" fontId="25" fillId="0" borderId="3" xfId="0" applyFont="1" applyBorder="1" applyAlignment="1" applyProtection="1">
      <alignment horizontal="left" vertical="center"/>
    </xf>
    <xf numFmtId="14" fontId="25" fillId="0" borderId="3" xfId="0" applyNumberFormat="1" applyFont="1" applyBorder="1" applyAlignment="1" applyProtection="1">
      <alignment horizontal="center" vertical="center"/>
    </xf>
    <xf numFmtId="2" fontId="25" fillId="0" borderId="3" xfId="0" applyNumberFormat="1" applyFont="1" applyBorder="1" applyAlignment="1" applyProtection="1">
      <alignment horizontal="center" vertical="center" wrapText="1"/>
    </xf>
    <xf numFmtId="0" fontId="25" fillId="0" borderId="2" xfId="0" applyFont="1" applyBorder="1" applyAlignment="1" applyProtection="1">
      <alignment horizontal="left" vertical="center"/>
    </xf>
    <xf numFmtId="14" fontId="25" fillId="0" borderId="2" xfId="0" applyNumberFormat="1" applyFont="1" applyBorder="1" applyAlignment="1" applyProtection="1">
      <alignment horizontal="center" vertical="center"/>
    </xf>
    <xf numFmtId="2" fontId="25" fillId="0" borderId="2" xfId="0" applyNumberFormat="1" applyFont="1" applyBorder="1" applyAlignment="1" applyProtection="1">
      <alignment horizontal="center" vertical="center" wrapText="1"/>
    </xf>
    <xf numFmtId="0" fontId="25" fillId="5" borderId="1"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2" fontId="25" fillId="0" borderId="2" xfId="0" applyNumberFormat="1" applyFont="1" applyBorder="1" applyAlignment="1" applyProtection="1">
      <alignment horizontal="center" vertical="center"/>
    </xf>
    <xf numFmtId="2" fontId="25" fillId="0" borderId="3" xfId="0" applyNumberFormat="1" applyFont="1" applyBorder="1" applyAlignment="1" applyProtection="1">
      <alignment horizontal="center" vertical="center"/>
    </xf>
    <xf numFmtId="0" fontId="22" fillId="0" borderId="0" xfId="0" applyFont="1" applyAlignment="1" applyProtection="1">
      <alignment horizontal="center" vertical="center"/>
    </xf>
    <xf numFmtId="0" fontId="20" fillId="0" borderId="2" xfId="0" applyFont="1" applyBorder="1" applyAlignment="1" applyProtection="1">
      <alignment horizontal="center" vertical="center"/>
    </xf>
    <xf numFmtId="0" fontId="20" fillId="0" borderId="59"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32" xfId="0" applyFont="1" applyBorder="1" applyAlignment="1" applyProtection="1">
      <alignment horizontal="center" vertical="center"/>
    </xf>
    <xf numFmtId="0" fontId="39" fillId="29" borderId="3" xfId="0" applyFont="1" applyFill="1" applyBorder="1" applyAlignment="1" applyProtection="1">
      <alignment horizontal="center" vertical="center"/>
    </xf>
    <xf numFmtId="0" fontId="39" fillId="29" borderId="3" xfId="0" applyFont="1" applyFill="1" applyBorder="1" applyAlignment="1" applyProtection="1">
      <alignment horizontal="center" vertical="center" wrapText="1"/>
    </xf>
    <xf numFmtId="0" fontId="39" fillId="29" borderId="30" xfId="0" applyFont="1" applyFill="1" applyBorder="1" applyAlignment="1" applyProtection="1">
      <alignment horizontal="center" vertical="center"/>
    </xf>
    <xf numFmtId="0" fontId="1" fillId="24" borderId="14" xfId="0" applyFont="1" applyFill="1" applyBorder="1" applyAlignment="1" applyProtection="1">
      <alignment horizontal="center" vertical="center" wrapText="1"/>
      <protection locked="0"/>
    </xf>
    <xf numFmtId="0" fontId="1" fillId="24" borderId="1" xfId="0" applyFont="1" applyFill="1" applyBorder="1" applyAlignment="1" applyProtection="1">
      <alignment horizontal="center" vertical="center" wrapText="1"/>
      <protection locked="0"/>
    </xf>
    <xf numFmtId="0" fontId="1" fillId="24" borderId="3" xfId="0" applyFont="1" applyFill="1" applyBorder="1" applyAlignment="1" applyProtection="1">
      <alignment horizontal="center" vertical="center" wrapText="1"/>
      <protection locked="0"/>
    </xf>
    <xf numFmtId="0" fontId="1" fillId="24" borderId="2" xfId="0" applyFont="1" applyFill="1" applyBorder="1" applyAlignment="1" applyProtection="1">
      <alignment horizontal="center" vertical="center" wrapText="1"/>
      <protection locked="0"/>
    </xf>
    <xf numFmtId="0" fontId="1" fillId="24" borderId="23"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locked="0"/>
    </xf>
    <xf numFmtId="9" fontId="0" fillId="0" borderId="49" xfId="4" applyFont="1" applyFill="1" applyBorder="1" applyAlignment="1" applyProtection="1">
      <alignment horizontal="center" vertical="center"/>
    </xf>
    <xf numFmtId="0" fontId="33" fillId="28" borderId="23" xfId="0" applyFont="1" applyFill="1" applyBorder="1" applyAlignment="1" applyProtection="1">
      <alignment horizontal="center" vertical="center"/>
    </xf>
    <xf numFmtId="0" fontId="33" fillId="28" borderId="23" xfId="0" applyFont="1" applyFill="1" applyBorder="1" applyAlignment="1" applyProtection="1">
      <alignment horizontal="center" vertical="center" wrapText="1"/>
    </xf>
    <xf numFmtId="0" fontId="25" fillId="0" borderId="14" xfId="0" applyFont="1" applyFill="1" applyBorder="1" applyAlignment="1" applyProtection="1">
      <alignment vertical="top" wrapText="1"/>
    </xf>
    <xf numFmtId="14" fontId="25" fillId="0" borderId="14" xfId="0" applyNumberFormat="1" applyFont="1" applyFill="1" applyBorder="1" applyAlignment="1" applyProtection="1">
      <alignment vertical="top"/>
    </xf>
    <xf numFmtId="1" fontId="25" fillId="0" borderId="14" xfId="0" applyNumberFormat="1" applyFont="1" applyBorder="1" applyAlignment="1" applyProtection="1">
      <alignment horizontal="center" vertical="top"/>
    </xf>
    <xf numFmtId="1" fontId="25" fillId="0" borderId="24" xfId="0" applyNumberFormat="1" applyFont="1" applyBorder="1" applyAlignment="1" applyProtection="1">
      <alignment horizontal="center" vertical="top"/>
    </xf>
    <xf numFmtId="0" fontId="25" fillId="0" borderId="1" xfId="0" applyFont="1" applyFill="1" applyBorder="1" applyAlignment="1" applyProtection="1">
      <alignment vertical="top" wrapText="1"/>
    </xf>
    <xf numFmtId="14" fontId="25" fillId="0" borderId="1" xfId="0" applyNumberFormat="1" applyFont="1" applyFill="1" applyBorder="1" applyAlignment="1" applyProtection="1">
      <alignment vertical="top"/>
    </xf>
    <xf numFmtId="1" fontId="25" fillId="0" borderId="1" xfId="0" applyNumberFormat="1" applyFont="1" applyBorder="1" applyAlignment="1" applyProtection="1">
      <alignment horizontal="center" vertical="top"/>
    </xf>
    <xf numFmtId="1" fontId="25" fillId="0" borderId="32" xfId="0" applyNumberFormat="1" applyFont="1" applyBorder="1" applyAlignment="1" applyProtection="1">
      <alignment horizontal="center" vertical="top"/>
    </xf>
    <xf numFmtId="0" fontId="25" fillId="0" borderId="3" xfId="0" applyFont="1" applyFill="1" applyBorder="1" applyAlignment="1" applyProtection="1">
      <alignment vertical="top" wrapText="1"/>
    </xf>
    <xf numFmtId="14" fontId="25" fillId="0" borderId="3" xfId="0" applyNumberFormat="1" applyFont="1" applyFill="1" applyBorder="1" applyAlignment="1" applyProtection="1">
      <alignment vertical="top"/>
    </xf>
    <xf numFmtId="1" fontId="25" fillId="0" borderId="3" xfId="0" applyNumberFormat="1" applyFont="1" applyBorder="1" applyAlignment="1" applyProtection="1">
      <alignment horizontal="center" vertical="top"/>
    </xf>
    <xf numFmtId="1" fontId="25" fillId="0" borderId="30" xfId="0" applyNumberFormat="1" applyFont="1" applyBorder="1" applyAlignment="1" applyProtection="1">
      <alignment horizontal="center" vertical="top"/>
    </xf>
    <xf numFmtId="0" fontId="25" fillId="0" borderId="14" xfId="0" applyFont="1" applyBorder="1" applyProtection="1"/>
    <xf numFmtId="0" fontId="25" fillId="0" borderId="1" xfId="0" applyFont="1" applyBorder="1" applyProtection="1"/>
    <xf numFmtId="0" fontId="25" fillId="0" borderId="3" xfId="0" applyFont="1" applyBorder="1" applyProtection="1"/>
    <xf numFmtId="0" fontId="25" fillId="0" borderId="3" xfId="0" quotePrefix="1" applyFont="1" applyBorder="1" applyAlignment="1" applyProtection="1">
      <alignment vertical="center" wrapText="1"/>
    </xf>
    <xf numFmtId="0" fontId="25" fillId="0" borderId="2" xfId="0" applyFont="1" applyFill="1" applyBorder="1" applyAlignment="1" applyProtection="1">
      <alignment vertical="top" wrapText="1"/>
    </xf>
    <xf numFmtId="14" fontId="25" fillId="0" borderId="2" xfId="0" applyNumberFormat="1" applyFont="1" applyFill="1" applyBorder="1" applyAlignment="1" applyProtection="1">
      <alignment vertical="top" wrapText="1"/>
    </xf>
    <xf numFmtId="1" fontId="25" fillId="0" borderId="2" xfId="0" applyNumberFormat="1" applyFont="1" applyBorder="1" applyAlignment="1" applyProtection="1">
      <alignment vertical="top" wrapText="1"/>
    </xf>
    <xf numFmtId="1" fontId="25" fillId="0" borderId="59" xfId="0" applyNumberFormat="1" applyFont="1" applyBorder="1" applyAlignment="1" applyProtection="1">
      <alignment vertical="top" wrapText="1"/>
    </xf>
    <xf numFmtId="14" fontId="25" fillId="0" borderId="1" xfId="0" applyNumberFormat="1" applyFont="1" applyFill="1" applyBorder="1" applyAlignment="1" applyProtection="1">
      <alignment vertical="top" wrapText="1"/>
    </xf>
    <xf numFmtId="1" fontId="25" fillId="0" borderId="1" xfId="0" applyNumberFormat="1" applyFont="1" applyBorder="1" applyAlignment="1" applyProtection="1">
      <alignment vertical="top" wrapText="1"/>
    </xf>
    <xf numFmtId="1" fontId="25" fillId="0" borderId="32" xfId="0" applyNumberFormat="1" applyFont="1" applyBorder="1" applyAlignment="1" applyProtection="1">
      <alignment vertical="top" wrapText="1"/>
    </xf>
    <xf numFmtId="0" fontId="25" fillId="0" borderId="23" xfId="0" quotePrefix="1" applyFont="1" applyBorder="1" applyAlignment="1" applyProtection="1">
      <alignment vertical="top" wrapText="1"/>
    </xf>
    <xf numFmtId="14" fontId="25" fillId="0" borderId="23" xfId="0" applyNumberFormat="1" applyFont="1" applyBorder="1" applyAlignment="1" applyProtection="1">
      <alignment vertical="top" wrapText="1"/>
    </xf>
    <xf numFmtId="2" fontId="25" fillId="0" borderId="23" xfId="0" applyNumberFormat="1" applyFont="1" applyBorder="1" applyAlignment="1" applyProtection="1">
      <alignment vertical="top" wrapText="1"/>
    </xf>
    <xf numFmtId="0" fontId="25" fillId="0" borderId="23" xfId="0" applyFont="1" applyFill="1" applyBorder="1" applyAlignment="1" applyProtection="1">
      <alignment vertical="top" wrapText="1"/>
    </xf>
    <xf numFmtId="0" fontId="25" fillId="0" borderId="23" xfId="0" applyFont="1" applyBorder="1" applyAlignment="1" applyProtection="1">
      <alignment vertical="top" wrapText="1"/>
    </xf>
    <xf numFmtId="1" fontId="25" fillId="0" borderId="23" xfId="0" applyNumberFormat="1" applyFont="1" applyBorder="1" applyAlignment="1" applyProtection="1">
      <alignment vertical="top" wrapText="1"/>
    </xf>
    <xf numFmtId="1" fontId="25" fillId="0" borderId="51" xfId="0" applyNumberFormat="1" applyFont="1" applyBorder="1" applyAlignment="1" applyProtection="1">
      <alignment vertical="top" wrapText="1"/>
    </xf>
    <xf numFmtId="14" fontId="25" fillId="0" borderId="14" xfId="0" applyNumberFormat="1" applyFont="1" applyFill="1" applyBorder="1" applyAlignment="1" applyProtection="1">
      <alignment vertical="top" wrapText="1"/>
    </xf>
    <xf numFmtId="1" fontId="25" fillId="0" borderId="14" xfId="0" applyNumberFormat="1" applyFont="1" applyBorder="1" applyAlignment="1" applyProtection="1">
      <alignment vertical="top" wrapText="1"/>
    </xf>
    <xf numFmtId="1" fontId="25" fillId="0" borderId="24" xfId="0" applyNumberFormat="1" applyFont="1" applyBorder="1" applyAlignment="1" applyProtection="1">
      <alignment vertical="top" wrapText="1"/>
    </xf>
    <xf numFmtId="14" fontId="25" fillId="0" borderId="3" xfId="0" applyNumberFormat="1" applyFont="1" applyFill="1" applyBorder="1" applyAlignment="1" applyProtection="1">
      <alignment vertical="top" wrapText="1"/>
    </xf>
    <xf numFmtId="1" fontId="25" fillId="0" borderId="3" xfId="0" applyNumberFormat="1" applyFont="1" applyBorder="1" applyAlignment="1" applyProtection="1">
      <alignment vertical="top" wrapText="1"/>
    </xf>
    <xf numFmtId="1" fontId="25" fillId="0" borderId="30" xfId="0" applyNumberFormat="1" applyFont="1" applyBorder="1" applyAlignment="1" applyProtection="1">
      <alignment vertical="top" wrapText="1"/>
    </xf>
    <xf numFmtId="14" fontId="25" fillId="0" borderId="2" xfId="0" applyNumberFormat="1" applyFont="1" applyFill="1" applyBorder="1" applyAlignment="1" applyProtection="1">
      <alignment vertical="top"/>
    </xf>
    <xf numFmtId="1" fontId="25" fillId="0" borderId="2" xfId="0" applyNumberFormat="1" applyFont="1" applyBorder="1" applyAlignment="1" applyProtection="1">
      <alignment horizontal="center" vertical="top"/>
    </xf>
    <xf numFmtId="1" fontId="25" fillId="0" borderId="59" xfId="0" applyNumberFormat="1" applyFont="1" applyBorder="1" applyAlignment="1" applyProtection="1">
      <alignment horizontal="center" vertical="top"/>
    </xf>
    <xf numFmtId="0" fontId="25" fillId="0" borderId="18" xfId="0" applyFont="1" applyFill="1" applyBorder="1" applyAlignment="1" applyProtection="1">
      <alignment vertical="top" wrapText="1"/>
    </xf>
    <xf numFmtId="0" fontId="25" fillId="0" borderId="19" xfId="0" applyFont="1" applyFill="1" applyBorder="1" applyAlignment="1" applyProtection="1">
      <alignment vertical="top" wrapText="1"/>
    </xf>
    <xf numFmtId="0" fontId="25" fillId="0" borderId="49" xfId="0" applyFont="1" applyFill="1" applyBorder="1" applyAlignment="1" applyProtection="1">
      <alignment vertical="top" wrapText="1"/>
    </xf>
    <xf numFmtId="0" fontId="25" fillId="0" borderId="18" xfId="0" applyFont="1" applyBorder="1" applyProtection="1"/>
    <xf numFmtId="0" fontId="25" fillId="0" borderId="19" xfId="0" applyFont="1" applyBorder="1" applyProtection="1"/>
    <xf numFmtId="0" fontId="25" fillId="0" borderId="49" xfId="0" applyFont="1" applyBorder="1" applyProtection="1"/>
    <xf numFmtId="0" fontId="25" fillId="0" borderId="49" xfId="0" applyFont="1" applyBorder="1" applyAlignment="1" applyProtection="1">
      <alignment vertical="top" wrapText="1"/>
    </xf>
    <xf numFmtId="0" fontId="25" fillId="0" borderId="70" xfId="0" applyFont="1" applyBorder="1" applyAlignment="1" applyProtection="1">
      <alignment vertical="top" wrapText="1"/>
    </xf>
    <xf numFmtId="0" fontId="25" fillId="0" borderId="19" xfId="0" applyFont="1" applyBorder="1" applyAlignment="1" applyProtection="1">
      <alignment vertical="top" wrapText="1"/>
    </xf>
    <xf numFmtId="0" fontId="25" fillId="0" borderId="22" xfId="0" applyFont="1" applyBorder="1" applyAlignment="1" applyProtection="1">
      <alignment vertical="top" wrapText="1"/>
    </xf>
    <xf numFmtId="0" fontId="25" fillId="0" borderId="18" xfId="0" applyFont="1" applyBorder="1" applyAlignment="1" applyProtection="1">
      <alignment vertical="top" wrapText="1"/>
    </xf>
    <xf numFmtId="0" fontId="25" fillId="0" borderId="70" xfId="0" applyFont="1" applyBorder="1" applyProtection="1"/>
    <xf numFmtId="0" fontId="18" fillId="4" borderId="2" xfId="0" applyFont="1" applyFill="1" applyBorder="1" applyAlignment="1" applyProtection="1">
      <alignment horizontal="left" vertical="center" wrapText="1"/>
    </xf>
    <xf numFmtId="0" fontId="25" fillId="5" borderId="3" xfId="0" applyFont="1" applyFill="1" applyBorder="1" applyAlignment="1" applyProtection="1">
      <alignment horizontal="left" vertical="center" wrapText="1"/>
    </xf>
    <xf numFmtId="0" fontId="25" fillId="5" borderId="2" xfId="0" applyFont="1" applyFill="1" applyBorder="1" applyAlignment="1" applyProtection="1">
      <alignment horizontal="left" vertical="center" wrapText="1"/>
    </xf>
    <xf numFmtId="0" fontId="28" fillId="4" borderId="3" xfId="0" applyFont="1" applyFill="1" applyBorder="1" applyAlignment="1" applyProtection="1">
      <alignment vertical="center" wrapText="1"/>
    </xf>
    <xf numFmtId="0" fontId="28" fillId="4" borderId="3" xfId="0" applyFont="1" applyFill="1" applyBorder="1" applyAlignment="1" applyProtection="1">
      <alignment horizontal="left" vertical="center" wrapText="1"/>
    </xf>
    <xf numFmtId="168" fontId="25" fillId="3" borderId="3" xfId="0" applyNumberFormat="1" applyFont="1" applyFill="1" applyBorder="1" applyAlignment="1" applyProtection="1">
      <alignment horizontal="center" vertical="center"/>
    </xf>
    <xf numFmtId="167" fontId="25" fillId="3" borderId="3" xfId="0" applyNumberFormat="1" applyFont="1" applyFill="1" applyBorder="1" applyAlignment="1" applyProtection="1">
      <alignment horizontal="center" vertical="center"/>
    </xf>
    <xf numFmtId="0" fontId="8" fillId="0" borderId="5" xfId="0" applyFont="1" applyBorder="1" applyAlignment="1" applyProtection="1">
      <alignment horizontal="left" vertical="center"/>
    </xf>
    <xf numFmtId="0" fontId="16" fillId="0" borderId="5"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14" fontId="2" fillId="0" borderId="11" xfId="0" applyNumberFormat="1"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2" fontId="0" fillId="0" borderId="3" xfId="4" applyNumberFormat="1" applyFont="1" applyBorder="1" applyAlignment="1" applyProtection="1">
      <alignment horizontal="center" vertical="center"/>
    </xf>
    <xf numFmtId="0" fontId="20" fillId="27" borderId="2" xfId="0" applyFont="1" applyFill="1" applyBorder="1" applyAlignment="1" applyProtection="1">
      <alignment horizontal="center" vertical="center" wrapText="1"/>
    </xf>
    <xf numFmtId="0" fontId="20" fillId="27"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1" fontId="25" fillId="4" borderId="2" xfId="0" applyNumberFormat="1" applyFont="1" applyFill="1" applyBorder="1" applyAlignment="1" applyProtection="1">
      <alignment horizontal="center" vertical="center"/>
    </xf>
    <xf numFmtId="1" fontId="25" fillId="4" borderId="1" xfId="0" applyNumberFormat="1" applyFont="1" applyFill="1" applyBorder="1" applyAlignment="1" applyProtection="1">
      <alignment horizontal="center" vertical="center"/>
    </xf>
    <xf numFmtId="1" fontId="25" fillId="4" borderId="3" xfId="0" applyNumberFormat="1" applyFont="1" applyFill="1" applyBorder="1" applyAlignment="1" applyProtection="1">
      <alignment horizontal="center" vertical="center"/>
    </xf>
    <xf numFmtId="0" fontId="26" fillId="0" borderId="5" xfId="0" applyFont="1" applyBorder="1" applyAlignment="1" applyProtection="1">
      <alignment horizontal="center" vertical="center"/>
    </xf>
    <xf numFmtId="0" fontId="26"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7" fillId="26" borderId="23" xfId="0"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0" borderId="0" xfId="0" applyFont="1" applyProtection="1"/>
    <xf numFmtId="0" fontId="25" fillId="0" borderId="0" xfId="0" applyFont="1" applyAlignment="1" applyProtection="1">
      <alignment horizontal="center"/>
    </xf>
    <xf numFmtId="0" fontId="25" fillId="0" borderId="0" xfId="0" applyFont="1" applyAlignment="1" applyProtection="1">
      <alignment horizontal="center" vertical="center"/>
    </xf>
    <xf numFmtId="0" fontId="25" fillId="0" borderId="0" xfId="0" applyFont="1" applyFill="1" applyBorder="1" applyProtection="1"/>
    <xf numFmtId="0" fontId="25" fillId="0" borderId="19" xfId="0" applyFont="1" applyFill="1" applyBorder="1" applyProtection="1"/>
    <xf numFmtId="0" fontId="25" fillId="0" borderId="1" xfId="0" applyFont="1" applyFill="1" applyBorder="1" applyProtection="1"/>
    <xf numFmtId="0" fontId="25" fillId="4" borderId="0" xfId="0" applyFont="1" applyFill="1" applyBorder="1" applyProtection="1"/>
    <xf numFmtId="0" fontId="26" fillId="0" borderId="0" xfId="0" applyFont="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17" fillId="26" borderId="17" xfId="0" applyFont="1" applyFill="1" applyBorder="1" applyAlignment="1" applyProtection="1">
      <alignment horizontal="center" vertical="center" wrapText="1"/>
    </xf>
    <xf numFmtId="0" fontId="22" fillId="0" borderId="38" xfId="0" applyFont="1" applyBorder="1" applyAlignment="1" applyProtection="1">
      <alignment horizontal="center" vertical="center"/>
    </xf>
    <xf numFmtId="0" fontId="22" fillId="0" borderId="35" xfId="0" applyFont="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4" borderId="14" xfId="0" applyFont="1" applyFill="1" applyBorder="1" applyAlignment="1" applyProtection="1">
      <alignment horizontal="center" vertical="center" wrapText="1"/>
    </xf>
    <xf numFmtId="1" fontId="25" fillId="4" borderId="1" xfId="0" applyNumberFormat="1" applyFont="1" applyFill="1" applyBorder="1" applyAlignment="1" applyProtection="1">
      <alignment horizontal="center" vertical="center"/>
    </xf>
    <xf numFmtId="167" fontId="28" fillId="19" borderId="1" xfId="0" applyNumberFormat="1" applyFont="1" applyFill="1" applyBorder="1" applyAlignment="1" applyProtection="1">
      <alignment horizontal="center" vertical="center"/>
    </xf>
    <xf numFmtId="0" fontId="25" fillId="4" borderId="23" xfId="0" applyFont="1" applyFill="1" applyBorder="1" applyAlignment="1" applyProtection="1">
      <alignment vertical="center" wrapText="1"/>
    </xf>
    <xf numFmtId="0" fontId="25" fillId="4" borderId="23" xfId="0" applyFont="1" applyFill="1" applyBorder="1" applyAlignment="1" applyProtection="1">
      <alignment horizontal="left" vertical="center" wrapText="1"/>
    </xf>
    <xf numFmtId="0" fontId="25" fillId="4" borderId="23" xfId="0" applyFont="1" applyFill="1" applyBorder="1" applyAlignment="1" applyProtection="1">
      <alignment horizontal="center" vertical="center" wrapText="1"/>
    </xf>
    <xf numFmtId="167" fontId="25" fillId="19" borderId="23" xfId="0" applyNumberFormat="1" applyFont="1" applyFill="1" applyBorder="1" applyAlignment="1" applyProtection="1">
      <alignment horizontal="center" vertical="center"/>
    </xf>
    <xf numFmtId="2" fontId="25" fillId="4" borderId="23" xfId="0" applyNumberFormat="1" applyFont="1" applyFill="1" applyBorder="1" applyAlignment="1" applyProtection="1">
      <alignment horizontal="center" vertical="center"/>
    </xf>
    <xf numFmtId="0" fontId="25" fillId="4" borderId="14" xfId="0" applyFont="1" applyFill="1" applyBorder="1" applyAlignment="1" applyProtection="1">
      <alignment vertical="center" wrapText="1"/>
    </xf>
    <xf numFmtId="167" fontId="25" fillId="19" borderId="14" xfId="0" applyNumberFormat="1" applyFont="1" applyFill="1" applyBorder="1" applyAlignment="1" applyProtection="1">
      <alignment horizontal="center" vertical="center"/>
    </xf>
    <xf numFmtId="1" fontId="25" fillId="4" borderId="14" xfId="0" applyNumberFormat="1" applyFont="1" applyFill="1" applyBorder="1" applyAlignment="1" applyProtection="1">
      <alignment horizontal="center" vertical="center"/>
    </xf>
    <xf numFmtId="0" fontId="25" fillId="0" borderId="23" xfId="0" applyFont="1" applyBorder="1" applyAlignment="1" applyProtection="1">
      <alignment vertical="center" wrapText="1"/>
    </xf>
    <xf numFmtId="1" fontId="25" fillId="4" borderId="23" xfId="0" applyNumberFormat="1" applyFont="1" applyFill="1" applyBorder="1" applyAlignment="1" applyProtection="1">
      <alignment horizontal="center" vertical="center"/>
    </xf>
    <xf numFmtId="0" fontId="25" fillId="0" borderId="14" xfId="0" applyFont="1" applyBorder="1" applyAlignment="1" applyProtection="1">
      <alignment horizontal="left" vertical="center"/>
    </xf>
    <xf numFmtId="0" fontId="25" fillId="0" borderId="14" xfId="0" applyFont="1" applyBorder="1" applyAlignment="1" applyProtection="1">
      <alignment horizontal="center" vertical="center"/>
    </xf>
    <xf numFmtId="14" fontId="25" fillId="0" borderId="14" xfId="0" applyNumberFormat="1" applyFont="1" applyBorder="1" applyAlignment="1" applyProtection="1">
      <alignment horizontal="center" vertical="center"/>
    </xf>
    <xf numFmtId="2" fontId="25" fillId="0" borderId="14" xfId="0" applyNumberFormat="1" applyFont="1" applyBorder="1" applyAlignment="1" applyProtection="1">
      <alignment horizontal="center" vertical="center" wrapText="1"/>
    </xf>
    <xf numFmtId="0" fontId="20" fillId="20" borderId="20" xfId="0" applyFont="1" applyFill="1" applyBorder="1" applyAlignment="1" applyProtection="1">
      <alignment horizontal="left" vertical="top" wrapText="1"/>
    </xf>
    <xf numFmtId="0" fontId="20" fillId="20" borderId="20" xfId="0" applyFont="1" applyFill="1" applyBorder="1" applyAlignment="1" applyProtection="1">
      <alignment horizontal="center" vertical="center" wrapText="1"/>
    </xf>
    <xf numFmtId="168" fontId="20" fillId="20" borderId="20" xfId="0" applyNumberFormat="1" applyFont="1" applyFill="1" applyBorder="1" applyAlignment="1" applyProtection="1">
      <alignment horizontal="center" vertical="center"/>
    </xf>
    <xf numFmtId="0" fontId="1" fillId="24" borderId="20" xfId="0" applyFont="1" applyFill="1" applyBorder="1" applyAlignment="1" applyProtection="1">
      <alignment horizontal="center" vertical="center" wrapText="1"/>
      <protection locked="0"/>
    </xf>
    <xf numFmtId="0" fontId="8" fillId="0" borderId="5" xfId="0" applyFont="1" applyBorder="1" applyAlignment="1" applyProtection="1">
      <alignment vertical="top"/>
    </xf>
    <xf numFmtId="0" fontId="8" fillId="0" borderId="0" xfId="0" applyFont="1" applyBorder="1" applyAlignment="1" applyProtection="1">
      <alignment vertical="top"/>
    </xf>
    <xf numFmtId="0" fontId="8" fillId="0" borderId="4" xfId="0" applyFont="1" applyBorder="1" applyAlignment="1" applyProtection="1">
      <alignment vertical="top"/>
    </xf>
    <xf numFmtId="0" fontId="0" fillId="0" borderId="0" xfId="0" applyAlignment="1" applyProtection="1">
      <alignment vertical="top"/>
    </xf>
    <xf numFmtId="1" fontId="25" fillId="4" borderId="1" xfId="0" applyNumberFormat="1" applyFont="1" applyFill="1" applyBorder="1" applyAlignment="1" applyProtection="1">
      <alignment vertical="center" wrapText="1"/>
    </xf>
    <xf numFmtId="1" fontId="25" fillId="4" borderId="32" xfId="0" applyNumberFormat="1" applyFont="1" applyFill="1" applyBorder="1" applyAlignment="1" applyProtection="1">
      <alignment vertical="center" wrapText="1"/>
    </xf>
    <xf numFmtId="1" fontId="25" fillId="4" borderId="23" xfId="0" applyNumberFormat="1" applyFont="1" applyFill="1" applyBorder="1" applyAlignment="1" applyProtection="1">
      <alignment vertical="center" wrapText="1"/>
    </xf>
    <xf numFmtId="1" fontId="25" fillId="4" borderId="51" xfId="0" applyNumberFormat="1" applyFont="1" applyFill="1" applyBorder="1" applyAlignment="1" applyProtection="1">
      <alignment vertical="center" wrapText="1"/>
    </xf>
    <xf numFmtId="0" fontId="20" fillId="20" borderId="14" xfId="0" applyFont="1" applyFill="1" applyBorder="1" applyAlignment="1" applyProtection="1">
      <alignment vertical="top" wrapText="1"/>
    </xf>
    <xf numFmtId="0" fontId="20" fillId="0" borderId="14" xfId="0" applyFont="1" applyFill="1" applyBorder="1" applyAlignment="1" applyProtection="1">
      <alignment vertical="center" wrapText="1"/>
    </xf>
    <xf numFmtId="0" fontId="20" fillId="0" borderId="23" xfId="0" applyFont="1" applyFill="1" applyBorder="1" applyAlignment="1" applyProtection="1">
      <alignment vertical="center" wrapText="1"/>
    </xf>
    <xf numFmtId="0" fontId="8" fillId="0" borderId="0" xfId="0" applyFont="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21" borderId="14" xfId="0"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wrapText="1"/>
    </xf>
    <xf numFmtId="165" fontId="1" fillId="21" borderId="14" xfId="4" applyNumberFormat="1" applyFont="1" applyFill="1" applyBorder="1" applyAlignment="1" applyProtection="1">
      <alignment horizontal="center" vertical="center"/>
    </xf>
    <xf numFmtId="165" fontId="1" fillId="21" borderId="1" xfId="4" applyNumberFormat="1" applyFont="1" applyFill="1" applyBorder="1" applyAlignment="1" applyProtection="1">
      <alignment horizontal="center" vertical="center"/>
    </xf>
    <xf numFmtId="0" fontId="5" fillId="20" borderId="14"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xf>
    <xf numFmtId="0" fontId="5" fillId="20" borderId="2" xfId="0" applyFont="1" applyFill="1" applyBorder="1" applyAlignment="1" applyProtection="1">
      <alignment horizontal="center" vertical="center" wrapText="1"/>
    </xf>
    <xf numFmtId="0" fontId="5" fillId="20" borderId="1" xfId="0" applyFont="1" applyFill="1" applyBorder="1" applyAlignment="1" applyProtection="1">
      <alignment horizontal="center" vertical="center" wrapText="1"/>
    </xf>
    <xf numFmtId="0" fontId="20" fillId="21" borderId="23" xfId="0" applyFont="1" applyFill="1" applyBorder="1" applyAlignment="1" applyProtection="1">
      <alignment horizontal="center" vertical="center" wrapText="1"/>
    </xf>
    <xf numFmtId="165" fontId="1" fillId="21" borderId="23" xfId="4" applyNumberFormat="1" applyFont="1" applyFill="1" applyBorder="1" applyAlignment="1" applyProtection="1">
      <alignment horizontal="center" vertical="center"/>
    </xf>
    <xf numFmtId="0" fontId="10" fillId="26" borderId="23" xfId="0" applyFont="1" applyFill="1" applyBorder="1" applyAlignment="1" applyProtection="1">
      <alignment horizontal="center" vertical="center" wrapText="1"/>
    </xf>
    <xf numFmtId="0" fontId="20" fillId="0" borderId="0" xfId="0" applyFont="1" applyBorder="1" applyAlignment="1" applyProtection="1">
      <alignment horizontal="center" vertical="center"/>
    </xf>
    <xf numFmtId="0" fontId="20" fillId="0" borderId="42" xfId="0" applyFont="1" applyFill="1" applyBorder="1" applyAlignment="1" applyProtection="1">
      <alignment horizontal="center" vertical="center"/>
    </xf>
    <xf numFmtId="0" fontId="1" fillId="24" borderId="14" xfId="0" applyFont="1" applyFill="1" applyBorder="1" applyAlignment="1" applyProtection="1">
      <alignment horizontal="center" vertical="center" wrapText="1"/>
    </xf>
    <xf numFmtId="0" fontId="1" fillId="24" borderId="1" xfId="0" applyFont="1" applyFill="1" applyBorder="1" applyAlignment="1" applyProtection="1">
      <alignment horizontal="center" vertical="center" wrapText="1"/>
    </xf>
    <xf numFmtId="0" fontId="1" fillId="24" borderId="23" xfId="0" applyFont="1" applyFill="1" applyBorder="1" applyAlignment="1" applyProtection="1">
      <alignment horizontal="center" vertical="center" wrapText="1"/>
    </xf>
    <xf numFmtId="0" fontId="1" fillId="24" borderId="3" xfId="0" applyFont="1" applyFill="1" applyBorder="1" applyAlignment="1" applyProtection="1">
      <alignment horizontal="center" vertical="center" wrapText="1"/>
    </xf>
    <xf numFmtId="0" fontId="1" fillId="24" borderId="2" xfId="0" applyFont="1" applyFill="1" applyBorder="1" applyAlignment="1" applyProtection="1">
      <alignment horizontal="center" vertical="center" wrapText="1"/>
    </xf>
    <xf numFmtId="0" fontId="1" fillId="24" borderId="16" xfId="0" applyFont="1" applyFill="1" applyBorder="1" applyAlignment="1" applyProtection="1">
      <alignment horizontal="center" vertical="center" wrapText="1"/>
    </xf>
    <xf numFmtId="165" fontId="1" fillId="21" borderId="14" xfId="4" applyNumberFormat="1" applyFont="1" applyFill="1" applyBorder="1" applyAlignment="1" applyProtection="1">
      <alignment horizontal="center" vertical="center"/>
    </xf>
    <xf numFmtId="165" fontId="1" fillId="21" borderId="1" xfId="4" applyNumberFormat="1" applyFont="1" applyFill="1" applyBorder="1" applyAlignment="1" applyProtection="1">
      <alignment horizontal="center" vertical="center"/>
    </xf>
    <xf numFmtId="0" fontId="3" fillId="0" borderId="59" xfId="0" applyNumberFormat="1" applyFont="1" applyFill="1" applyBorder="1" applyAlignment="1" applyProtection="1">
      <alignment horizontal="center" vertical="center"/>
    </xf>
    <xf numFmtId="1" fontId="22" fillId="0" borderId="2" xfId="0" applyNumberFormat="1" applyFont="1" applyBorder="1" applyAlignment="1" applyProtection="1">
      <alignment horizontal="center" vertical="center"/>
    </xf>
    <xf numFmtId="9" fontId="22" fillId="0" borderId="59" xfId="4" applyFont="1" applyBorder="1" applyAlignment="1" applyProtection="1">
      <alignment horizontal="center" vertical="center"/>
    </xf>
    <xf numFmtId="1" fontId="22" fillId="0" borderId="3" xfId="0" applyNumberFormat="1" applyFont="1" applyBorder="1" applyAlignment="1" applyProtection="1">
      <alignment horizontal="center" vertical="center"/>
    </xf>
    <xf numFmtId="9" fontId="22" fillId="0" borderId="30" xfId="4" applyFont="1" applyBorder="1" applyAlignment="1" applyProtection="1">
      <alignment horizontal="center" vertical="center"/>
    </xf>
    <xf numFmtId="0" fontId="3" fillId="29" borderId="29" xfId="0" applyFont="1" applyFill="1" applyBorder="1" applyAlignment="1" applyProtection="1">
      <alignment horizontal="center" vertical="center"/>
    </xf>
    <xf numFmtId="0" fontId="3" fillId="29" borderId="15" xfId="0" applyFont="1" applyFill="1" applyBorder="1" applyAlignment="1" applyProtection="1">
      <alignment horizontal="center" vertical="center"/>
    </xf>
    <xf numFmtId="9" fontId="3" fillId="29" borderId="43" xfId="0" applyNumberFormat="1" applyFont="1" applyFill="1" applyBorder="1" applyAlignment="1" applyProtection="1">
      <alignment horizontal="center" vertical="center"/>
    </xf>
    <xf numFmtId="10" fontId="39" fillId="17" borderId="75" xfId="0" applyNumberFormat="1" applyFont="1" applyFill="1" applyBorder="1" applyAlignment="1" applyProtection="1">
      <alignment horizontal="center" vertical="center"/>
    </xf>
    <xf numFmtId="0" fontId="22" fillId="29" borderId="75" xfId="0" applyNumberFormat="1" applyFont="1" applyFill="1" applyBorder="1" applyAlignment="1" applyProtection="1">
      <alignment horizontal="center" vertical="center" wrapText="1"/>
    </xf>
    <xf numFmtId="0" fontId="20" fillId="21" borderId="24" xfId="0" applyFont="1" applyFill="1" applyBorder="1" applyAlignment="1" applyProtection="1">
      <alignment horizontal="center" vertical="center"/>
    </xf>
    <xf numFmtId="0" fontId="20" fillId="31" borderId="32" xfId="0" applyFont="1" applyFill="1" applyBorder="1" applyAlignment="1" applyProtection="1">
      <alignment horizontal="center" vertical="center"/>
    </xf>
    <xf numFmtId="0" fontId="20" fillId="24" borderId="30"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30" borderId="1" xfId="0" applyFont="1" applyFill="1" applyBorder="1" applyAlignment="1" applyProtection="1">
      <alignment horizontal="center" vertical="center"/>
    </xf>
    <xf numFmtId="9" fontId="1" fillId="0" borderId="1" xfId="4" applyFont="1" applyFill="1" applyBorder="1" applyAlignment="1" applyProtection="1">
      <alignment horizontal="center" vertical="center"/>
    </xf>
    <xf numFmtId="169" fontId="1" fillId="0" borderId="1" xfId="0" applyNumberFormat="1" applyFont="1" applyFill="1" applyBorder="1" applyAlignment="1" applyProtection="1">
      <alignment horizontal="center" vertical="center"/>
    </xf>
    <xf numFmtId="0" fontId="25" fillId="6" borderId="2"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wrapText="1"/>
    </xf>
    <xf numFmtId="0" fontId="18" fillId="6" borderId="2" xfId="0" applyFont="1" applyFill="1" applyBorder="1" applyAlignment="1" applyProtection="1">
      <alignment horizontal="left" vertical="top" wrapText="1"/>
    </xf>
    <xf numFmtId="0" fontId="18" fillId="6" borderId="3" xfId="0" applyFont="1" applyFill="1" applyBorder="1" applyAlignment="1" applyProtection="1">
      <alignment horizontal="left" vertical="top" wrapText="1"/>
    </xf>
    <xf numFmtId="0" fontId="25" fillId="6" borderId="2"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0" borderId="2"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17" fontId="25" fillId="6" borderId="2" xfId="0" quotePrefix="1" applyNumberFormat="1" applyFont="1" applyFill="1" applyBorder="1" applyAlignment="1" applyProtection="1">
      <alignment horizontal="center" vertical="center"/>
    </xf>
    <xf numFmtId="17" fontId="25" fillId="6" borderId="1" xfId="0" quotePrefix="1" applyNumberFormat="1" applyFont="1" applyFill="1" applyBorder="1" applyAlignment="1" applyProtection="1">
      <alignment horizontal="center" vertical="center"/>
    </xf>
    <xf numFmtId="17" fontId="25" fillId="6" borderId="3" xfId="0" quotePrefix="1" applyNumberFormat="1" applyFont="1" applyFill="1" applyBorder="1" applyAlignment="1" applyProtection="1">
      <alignment horizontal="center" vertical="center"/>
    </xf>
    <xf numFmtId="0" fontId="25" fillId="6" borderId="2" xfId="0" applyFont="1" applyFill="1" applyBorder="1" applyAlignment="1" applyProtection="1">
      <alignment horizontal="left" vertical="top" wrapText="1"/>
    </xf>
    <xf numFmtId="0" fontId="25" fillId="6" borderId="1" xfId="0" applyFont="1" applyFill="1" applyBorder="1" applyAlignment="1" applyProtection="1">
      <alignment horizontal="left" vertical="top" wrapText="1"/>
    </xf>
    <xf numFmtId="0" fontId="25" fillId="6" borderId="3" xfId="0" applyFont="1" applyFill="1" applyBorder="1" applyAlignment="1" applyProtection="1">
      <alignment horizontal="left" vertical="top" wrapText="1"/>
    </xf>
    <xf numFmtId="0" fontId="25" fillId="5" borderId="2"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25" fillId="4" borderId="14" xfId="0" applyFont="1" applyFill="1" applyBorder="1" applyAlignment="1" applyProtection="1">
      <alignment horizontal="center" vertical="center" wrapText="1"/>
    </xf>
    <xf numFmtId="0" fontId="18" fillId="6" borderId="1" xfId="0" applyFont="1" applyFill="1" applyBorder="1" applyAlignment="1" applyProtection="1">
      <alignment horizontal="left" vertical="top" wrapText="1"/>
    </xf>
    <xf numFmtId="0" fontId="26" fillId="6" borderId="38" xfId="0" applyFont="1" applyFill="1" applyBorder="1" applyAlignment="1" applyProtection="1">
      <alignment horizontal="center" vertical="center" wrapText="1"/>
    </xf>
    <xf numFmtId="0" fontId="26" fillId="6" borderId="36" xfId="0" applyFont="1" applyFill="1" applyBorder="1" applyAlignment="1" applyProtection="1">
      <alignment horizontal="center" vertical="center" wrapText="1"/>
    </xf>
    <xf numFmtId="0" fontId="26" fillId="6" borderId="35" xfId="0" applyFont="1" applyFill="1" applyBorder="1" applyAlignment="1" applyProtection="1">
      <alignment horizontal="center" vertical="center" wrapText="1"/>
    </xf>
    <xf numFmtId="0" fontId="26" fillId="6" borderId="38" xfId="0" applyFont="1" applyFill="1" applyBorder="1" applyAlignment="1" applyProtection="1">
      <alignment horizontal="center" vertical="center"/>
    </xf>
    <xf numFmtId="0" fontId="26" fillId="6" borderId="35" xfId="0" applyFont="1" applyFill="1" applyBorder="1" applyAlignment="1" applyProtection="1">
      <alignment horizontal="center" vertical="center"/>
    </xf>
    <xf numFmtId="0" fontId="25" fillId="0" borderId="2" xfId="0" quotePrefix="1" applyFont="1" applyBorder="1" applyAlignment="1" applyProtection="1">
      <alignment horizontal="center" vertical="center" wrapText="1"/>
    </xf>
    <xf numFmtId="0" fontId="25" fillId="0" borderId="59" xfId="0" quotePrefix="1" applyFont="1" applyBorder="1" applyAlignment="1" applyProtection="1">
      <alignment horizontal="center" vertical="center" wrapText="1"/>
    </xf>
    <xf numFmtId="0" fontId="25" fillId="0" borderId="1" xfId="0" quotePrefix="1" applyFont="1" applyBorder="1" applyAlignment="1" applyProtection="1">
      <alignment horizontal="center" vertical="center" wrapText="1"/>
    </xf>
    <xf numFmtId="0" fontId="25" fillId="0" borderId="32" xfId="0" quotePrefix="1" applyFont="1" applyBorder="1" applyAlignment="1" applyProtection="1">
      <alignment horizontal="center" vertical="center" wrapText="1"/>
    </xf>
    <xf numFmtId="0" fontId="25" fillId="0" borderId="3" xfId="0" quotePrefix="1" applyFont="1" applyBorder="1" applyAlignment="1" applyProtection="1">
      <alignment horizontal="center" vertical="center" wrapText="1"/>
    </xf>
    <xf numFmtId="0" fontId="25" fillId="0" borderId="30" xfId="0" quotePrefix="1" applyFont="1" applyBorder="1" applyAlignment="1" applyProtection="1">
      <alignment horizontal="center" vertical="center" wrapText="1"/>
    </xf>
    <xf numFmtId="0" fontId="26" fillId="6" borderId="36" xfId="0" applyFont="1" applyFill="1" applyBorder="1" applyAlignment="1" applyProtection="1">
      <alignment horizontal="center" vertical="center"/>
    </xf>
    <xf numFmtId="0" fontId="25" fillId="0" borderId="1" xfId="0" applyFont="1" applyBorder="1" applyAlignment="1" applyProtection="1">
      <alignment horizontal="center" vertical="center" wrapText="1"/>
    </xf>
    <xf numFmtId="0" fontId="25" fillId="0" borderId="2" xfId="0" applyFont="1" applyBorder="1" applyAlignment="1" applyProtection="1">
      <alignment horizontal="center" vertical="top" wrapText="1"/>
    </xf>
    <xf numFmtId="0" fontId="25" fillId="0" borderId="59" xfId="0" applyFont="1" applyBorder="1" applyAlignment="1" applyProtection="1">
      <alignment horizontal="center" vertical="top" wrapText="1"/>
    </xf>
    <xf numFmtId="0" fontId="25" fillId="0" borderId="1" xfId="0" applyFont="1" applyBorder="1" applyAlignment="1" applyProtection="1">
      <alignment horizontal="center" vertical="top" wrapText="1"/>
    </xf>
    <xf numFmtId="0" fontId="25" fillId="0" borderId="32"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25" fillId="0" borderId="30" xfId="0" applyFont="1" applyBorder="1" applyAlignment="1" applyProtection="1">
      <alignment horizontal="center" vertical="top" wrapText="1"/>
    </xf>
    <xf numFmtId="0" fontId="25" fillId="0" borderId="59" xfId="0" applyFont="1" applyBorder="1" applyAlignment="1" applyProtection="1">
      <alignment horizontal="center" vertical="center" wrapText="1"/>
    </xf>
    <xf numFmtId="0" fontId="25" fillId="0" borderId="30" xfId="0" applyFont="1" applyBorder="1" applyAlignment="1" applyProtection="1">
      <alignment horizontal="center" vertical="center" wrapText="1"/>
    </xf>
    <xf numFmtId="1" fontId="28" fillId="4" borderId="2" xfId="0" applyNumberFormat="1" applyFont="1" applyFill="1" applyBorder="1" applyAlignment="1" applyProtection="1">
      <alignment horizontal="center" vertical="center" wrapText="1"/>
    </xf>
    <xf numFmtId="1" fontId="28" fillId="4" borderId="59" xfId="0" applyNumberFormat="1" applyFont="1" applyFill="1" applyBorder="1" applyAlignment="1" applyProtection="1">
      <alignment horizontal="center" vertical="center" wrapText="1"/>
    </xf>
    <xf numFmtId="1" fontId="28" fillId="4" borderId="1" xfId="0" applyNumberFormat="1" applyFont="1" applyFill="1" applyBorder="1" applyAlignment="1" applyProtection="1">
      <alignment horizontal="center" vertical="center" wrapText="1"/>
    </xf>
    <xf numFmtId="1" fontId="28" fillId="4" borderId="32" xfId="0" applyNumberFormat="1" applyFont="1" applyFill="1" applyBorder="1" applyAlignment="1" applyProtection="1">
      <alignment horizontal="center" vertical="center" wrapText="1"/>
    </xf>
    <xf numFmtId="1" fontId="28" fillId="4" borderId="3" xfId="0" applyNumberFormat="1" applyFont="1" applyFill="1" applyBorder="1" applyAlignment="1" applyProtection="1">
      <alignment horizontal="center" vertical="center" wrapText="1"/>
    </xf>
    <xf numFmtId="1" fontId="28" fillId="4" borderId="30" xfId="0" applyNumberFormat="1" applyFont="1" applyFill="1" applyBorder="1" applyAlignment="1" applyProtection="1">
      <alignment horizontal="center" vertical="center" wrapText="1"/>
    </xf>
    <xf numFmtId="1" fontId="25" fillId="4" borderId="2" xfId="0" applyNumberFormat="1" applyFont="1" applyFill="1" applyBorder="1" applyAlignment="1" applyProtection="1">
      <alignment horizontal="center" vertical="center" wrapText="1"/>
    </xf>
    <xf numFmtId="1" fontId="25" fillId="4" borderId="59" xfId="0" applyNumberFormat="1" applyFont="1" applyFill="1" applyBorder="1" applyAlignment="1" applyProtection="1">
      <alignment horizontal="center" vertical="center" wrapText="1"/>
    </xf>
    <xf numFmtId="1" fontId="25" fillId="4" borderId="1" xfId="0" applyNumberFormat="1" applyFont="1" applyFill="1" applyBorder="1" applyAlignment="1" applyProtection="1">
      <alignment horizontal="center" vertical="center" wrapText="1"/>
    </xf>
    <xf numFmtId="1" fontId="25" fillId="4" borderId="32" xfId="0" applyNumberFormat="1" applyFont="1" applyFill="1" applyBorder="1" applyAlignment="1" applyProtection="1">
      <alignment horizontal="center" vertical="center" wrapText="1"/>
    </xf>
    <xf numFmtId="1" fontId="25" fillId="4" borderId="3" xfId="0" applyNumberFormat="1" applyFont="1" applyFill="1" applyBorder="1" applyAlignment="1" applyProtection="1">
      <alignment horizontal="center" vertical="center" wrapText="1"/>
    </xf>
    <xf numFmtId="1" fontId="25" fillId="4" borderId="30" xfId="0" applyNumberFormat="1" applyFont="1" applyFill="1" applyBorder="1" applyAlignment="1" applyProtection="1">
      <alignment horizontal="center" vertical="center" wrapText="1"/>
    </xf>
    <xf numFmtId="0" fontId="34" fillId="28" borderId="10" xfId="0" applyFont="1" applyFill="1" applyBorder="1" applyAlignment="1" applyProtection="1">
      <alignment horizontal="center" vertical="center"/>
    </xf>
    <xf numFmtId="0" fontId="34" fillId="28" borderId="0" xfId="0" applyFont="1" applyFill="1" applyBorder="1" applyAlignment="1" applyProtection="1">
      <alignment horizontal="center" vertical="center"/>
    </xf>
    <xf numFmtId="0" fontId="26" fillId="6" borderId="34" xfId="0" applyFont="1" applyFill="1" applyBorder="1" applyAlignment="1" applyProtection="1">
      <alignment horizontal="center" vertical="center" wrapText="1"/>
    </xf>
    <xf numFmtId="0" fontId="25" fillId="6" borderId="14" xfId="0" quotePrefix="1" applyFont="1" applyFill="1" applyBorder="1" applyAlignment="1" applyProtection="1">
      <alignment horizontal="center" vertical="center" wrapText="1"/>
    </xf>
    <xf numFmtId="0" fontId="25" fillId="6" borderId="1" xfId="0" quotePrefix="1" applyFont="1" applyFill="1" applyBorder="1" applyAlignment="1" applyProtection="1">
      <alignment horizontal="center" vertical="center" wrapText="1"/>
    </xf>
    <xf numFmtId="0" fontId="25" fillId="6" borderId="3" xfId="0" quotePrefix="1" applyFont="1" applyFill="1" applyBorder="1" applyAlignment="1" applyProtection="1">
      <alignment horizontal="center" vertical="center" wrapText="1"/>
    </xf>
    <xf numFmtId="0" fontId="18" fillId="6" borderId="14" xfId="0" applyFont="1" applyFill="1" applyBorder="1" applyAlignment="1" applyProtection="1">
      <alignment horizontal="left" vertical="top" wrapText="1"/>
    </xf>
    <xf numFmtId="0" fontId="25" fillId="6" borderId="14" xfId="0" applyFont="1" applyFill="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38" fillId="28" borderId="1" xfId="0" applyFont="1" applyFill="1" applyBorder="1" applyAlignment="1" applyProtection="1">
      <alignment horizontal="center"/>
    </xf>
    <xf numFmtId="0" fontId="25" fillId="6" borderId="2" xfId="0" quotePrefix="1" applyFont="1" applyFill="1" applyBorder="1" applyAlignment="1" applyProtection="1">
      <alignment horizontal="center" vertical="center" wrapText="1"/>
    </xf>
    <xf numFmtId="0" fontId="26" fillId="6" borderId="2" xfId="0" quotePrefix="1" applyFont="1" applyFill="1" applyBorder="1" applyAlignment="1" applyProtection="1">
      <alignment horizontal="center" vertical="center" wrapText="1"/>
    </xf>
    <xf numFmtId="0" fontId="26" fillId="6" borderId="1" xfId="0" quotePrefix="1" applyFont="1" applyFill="1" applyBorder="1" applyAlignment="1" applyProtection="1">
      <alignment horizontal="center" vertical="center" wrapText="1"/>
    </xf>
    <xf numFmtId="0" fontId="26" fillId="6" borderId="3" xfId="0" applyFont="1" applyFill="1" applyBorder="1" applyAlignment="1" applyProtection="1">
      <alignment horizontal="center" vertical="center" wrapText="1"/>
    </xf>
    <xf numFmtId="17" fontId="26" fillId="6" borderId="2" xfId="0" quotePrefix="1" applyNumberFormat="1" applyFont="1" applyFill="1" applyBorder="1" applyAlignment="1" applyProtection="1">
      <alignment horizontal="center" vertical="center" wrapText="1"/>
    </xf>
    <xf numFmtId="0" fontId="26" fillId="6" borderId="1" xfId="0" applyFont="1" applyFill="1" applyBorder="1" applyAlignment="1" applyProtection="1">
      <alignment horizontal="center" vertical="center" wrapText="1"/>
    </xf>
    <xf numFmtId="0" fontId="33" fillId="28" borderId="19" xfId="0" applyFont="1" applyFill="1" applyBorder="1" applyAlignment="1" applyProtection="1">
      <alignment horizontal="center" vertical="center" wrapText="1"/>
    </xf>
    <xf numFmtId="0" fontId="33" fillId="28" borderId="22" xfId="0" applyFont="1" applyFill="1" applyBorder="1" applyAlignment="1" applyProtection="1">
      <alignment horizontal="center" vertical="center" wrapText="1"/>
    </xf>
    <xf numFmtId="1" fontId="28" fillId="0" borderId="2" xfId="0" applyNumberFormat="1" applyFont="1" applyFill="1" applyBorder="1" applyAlignment="1" applyProtection="1">
      <alignment horizontal="center" vertical="center"/>
    </xf>
    <xf numFmtId="1" fontId="28" fillId="0" borderId="59" xfId="0" applyNumberFormat="1" applyFont="1" applyFill="1" applyBorder="1" applyAlignment="1" applyProtection="1">
      <alignment horizontal="center" vertical="center"/>
    </xf>
    <xf numFmtId="1" fontId="28" fillId="0" borderId="1" xfId="0" applyNumberFormat="1" applyFont="1" applyFill="1" applyBorder="1" applyAlignment="1" applyProtection="1">
      <alignment horizontal="center" vertical="center"/>
    </xf>
    <xf numFmtId="1" fontId="28" fillId="0" borderId="32" xfId="0" applyNumberFormat="1" applyFont="1" applyFill="1" applyBorder="1" applyAlignment="1" applyProtection="1">
      <alignment horizontal="center" vertical="center"/>
    </xf>
    <xf numFmtId="1" fontId="28" fillId="0" borderId="3" xfId="0" applyNumberFormat="1" applyFont="1" applyFill="1" applyBorder="1" applyAlignment="1" applyProtection="1">
      <alignment horizontal="center" vertical="center"/>
    </xf>
    <xf numFmtId="1" fontId="28" fillId="0" borderId="30" xfId="0" applyNumberFormat="1" applyFont="1" applyFill="1" applyBorder="1" applyAlignment="1" applyProtection="1">
      <alignment horizontal="center" vertical="center"/>
    </xf>
    <xf numFmtId="0" fontId="25" fillId="7" borderId="2" xfId="0" quotePrefix="1"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xf>
    <xf numFmtId="0" fontId="26" fillId="0" borderId="7" xfId="0" applyFont="1" applyBorder="1" applyAlignment="1" applyProtection="1">
      <alignment horizontal="center" vertical="center"/>
    </xf>
    <xf numFmtId="0" fontId="26" fillId="0" borderId="5" xfId="0" applyFont="1" applyBorder="1" applyAlignment="1" applyProtection="1">
      <alignment horizontal="center" vertical="center"/>
    </xf>
    <xf numFmtId="0" fontId="27" fillId="26" borderId="52" xfId="0" applyFont="1" applyFill="1" applyBorder="1" applyAlignment="1" applyProtection="1">
      <alignment horizontal="center" vertical="center" wrapText="1"/>
    </xf>
    <xf numFmtId="0" fontId="27" fillId="26" borderId="27" xfId="0" applyFont="1" applyFill="1" applyBorder="1" applyAlignment="1" applyProtection="1">
      <alignment horizontal="center" vertical="center" wrapText="1"/>
    </xf>
    <xf numFmtId="0" fontId="27" fillId="26" borderId="53" xfId="0" applyFont="1" applyFill="1" applyBorder="1" applyAlignment="1" applyProtection="1">
      <alignment horizontal="center" vertical="center" wrapText="1"/>
    </xf>
    <xf numFmtId="0" fontId="27" fillId="26" borderId="13" xfId="0" applyFont="1" applyFill="1" applyBorder="1" applyAlignment="1" applyProtection="1">
      <alignment horizontal="center" vertical="center" wrapText="1"/>
    </xf>
    <xf numFmtId="0" fontId="25" fillId="0" borderId="0" xfId="4" applyNumberFormat="1" applyFont="1" applyFill="1" applyBorder="1" applyAlignment="1" applyProtection="1">
      <alignment horizontal="center" vertical="center"/>
    </xf>
    <xf numFmtId="0" fontId="25" fillId="0" borderId="13" xfId="4" applyNumberFormat="1" applyFont="1" applyFill="1" applyBorder="1" applyAlignment="1" applyProtection="1">
      <alignment horizontal="center" vertical="center"/>
    </xf>
    <xf numFmtId="0" fontId="33" fillId="26" borderId="53" xfId="0" applyFont="1" applyFill="1" applyBorder="1" applyAlignment="1" applyProtection="1">
      <alignment horizontal="right" vertical="center"/>
    </xf>
    <xf numFmtId="0" fontId="33" fillId="26" borderId="0" xfId="0" applyFont="1" applyFill="1" applyBorder="1" applyAlignment="1" applyProtection="1">
      <alignment horizontal="right" vertical="center"/>
    </xf>
    <xf numFmtId="0" fontId="33" fillId="26" borderId="69" xfId="0" applyFont="1" applyFill="1" applyBorder="1" applyAlignment="1" applyProtection="1">
      <alignment horizontal="right" vertical="center"/>
    </xf>
    <xf numFmtId="0" fontId="33" fillId="26" borderId="4" xfId="0" applyFont="1" applyFill="1" applyBorder="1" applyAlignment="1" applyProtection="1">
      <alignment horizontal="right" vertical="center"/>
    </xf>
    <xf numFmtId="0" fontId="19" fillId="6" borderId="2" xfId="0" applyFont="1" applyFill="1" applyBorder="1" applyAlignment="1" applyProtection="1">
      <alignment horizontal="left" vertical="top" wrapText="1"/>
    </xf>
    <xf numFmtId="0" fontId="33" fillId="26" borderId="10" xfId="0" applyFont="1" applyFill="1" applyBorder="1" applyAlignment="1" applyProtection="1">
      <alignment horizontal="left" vertical="center"/>
    </xf>
    <xf numFmtId="0" fontId="33" fillId="26" borderId="0" xfId="0" applyFont="1" applyFill="1" applyBorder="1" applyAlignment="1" applyProtection="1">
      <alignment horizontal="left" vertical="center"/>
    </xf>
    <xf numFmtId="0" fontId="26" fillId="0" borderId="10" xfId="0" applyFont="1" applyBorder="1" applyAlignment="1" applyProtection="1">
      <alignment horizontal="center" vertical="center"/>
    </xf>
    <xf numFmtId="0" fontId="26" fillId="0" borderId="0"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4" xfId="0" applyFont="1" applyBorder="1" applyAlignment="1" applyProtection="1">
      <alignment horizontal="center" vertical="center"/>
    </xf>
    <xf numFmtId="14" fontId="25" fillId="0" borderId="0" xfId="0" applyNumberFormat="1"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3" xfId="0" applyFont="1" applyBorder="1" applyAlignment="1" applyProtection="1">
      <alignment horizontal="center" vertical="center"/>
    </xf>
    <xf numFmtId="0" fontId="27" fillId="26" borderId="14" xfId="0" applyFont="1" applyFill="1" applyBorder="1" applyAlignment="1" applyProtection="1">
      <alignment horizontal="center" wrapText="1"/>
    </xf>
    <xf numFmtId="0" fontId="25" fillId="0" borderId="4"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7" fillId="26" borderId="14" xfId="0" applyFont="1" applyFill="1" applyBorder="1" applyAlignment="1" applyProtection="1">
      <alignment horizontal="center" vertical="center" wrapText="1"/>
    </xf>
    <xf numFmtId="0" fontId="27" fillId="26" borderId="23" xfId="0" applyFont="1" applyFill="1" applyBorder="1" applyAlignment="1" applyProtection="1">
      <alignment horizontal="center" vertical="center" wrapText="1"/>
    </xf>
    <xf numFmtId="17" fontId="25" fillId="6" borderId="14" xfId="0" quotePrefix="1" applyNumberFormat="1" applyFont="1" applyFill="1" applyBorder="1" applyAlignment="1" applyProtection="1">
      <alignment horizontal="center" vertical="center" wrapText="1"/>
    </xf>
    <xf numFmtId="17" fontId="25" fillId="6" borderId="1" xfId="0" quotePrefix="1" applyNumberFormat="1" applyFont="1" applyFill="1" applyBorder="1" applyAlignment="1" applyProtection="1">
      <alignment horizontal="center" vertical="center" wrapText="1"/>
    </xf>
    <xf numFmtId="17" fontId="25" fillId="6" borderId="3" xfId="0" quotePrefix="1" applyNumberFormat="1" applyFont="1" applyFill="1" applyBorder="1" applyAlignment="1" applyProtection="1">
      <alignment horizontal="center" vertical="center" wrapText="1"/>
    </xf>
    <xf numFmtId="0" fontId="33" fillId="26" borderId="6" xfId="0" applyFont="1" applyFill="1" applyBorder="1" applyAlignment="1" applyProtection="1">
      <alignment horizontal="left" vertical="center"/>
    </xf>
    <xf numFmtId="0" fontId="33" fillId="26" borderId="4" xfId="0" applyFont="1" applyFill="1" applyBorder="1" applyAlignment="1" applyProtection="1">
      <alignment horizontal="left" vertical="center"/>
    </xf>
    <xf numFmtId="14" fontId="25"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7" fillId="26" borderId="34" xfId="0" applyFont="1" applyFill="1" applyBorder="1" applyAlignment="1" applyProtection="1">
      <alignment horizontal="center"/>
    </xf>
    <xf numFmtId="0" fontId="27" fillId="26" borderId="14" xfId="0" applyFont="1" applyFill="1" applyBorder="1" applyAlignment="1" applyProtection="1">
      <alignment horizontal="center"/>
    </xf>
    <xf numFmtId="0" fontId="25" fillId="6" borderId="38" xfId="0" applyFont="1" applyFill="1" applyBorder="1" applyAlignment="1" applyProtection="1">
      <alignment horizontal="center" vertical="center" wrapText="1"/>
    </xf>
    <xf numFmtId="0" fontId="25" fillId="6" borderId="36" xfId="0" applyFont="1" applyFill="1" applyBorder="1" applyAlignment="1" applyProtection="1">
      <alignment horizontal="center" vertical="center" wrapText="1"/>
    </xf>
    <xf numFmtId="0" fontId="25" fillId="6" borderId="35" xfId="0" applyFont="1" applyFill="1" applyBorder="1" applyAlignment="1" applyProtection="1">
      <alignment horizontal="center" vertical="center" wrapText="1"/>
    </xf>
    <xf numFmtId="0" fontId="26" fillId="6" borderId="8" xfId="0" applyFont="1" applyFill="1" applyBorder="1" applyAlignment="1" applyProtection="1">
      <alignment horizontal="center" vertical="center" wrapText="1"/>
    </xf>
    <xf numFmtId="0" fontId="25" fillId="6" borderId="23" xfId="0" quotePrefix="1" applyFont="1" applyFill="1" applyBorder="1" applyAlignment="1" applyProtection="1">
      <alignment horizontal="center" vertical="center" wrapText="1"/>
    </xf>
    <xf numFmtId="0" fontId="25" fillId="6" borderId="23" xfId="0" applyFont="1" applyFill="1" applyBorder="1" applyAlignment="1" applyProtection="1">
      <alignment horizontal="center" vertical="center" wrapText="1"/>
    </xf>
    <xf numFmtId="0" fontId="18" fillId="6" borderId="23" xfId="0" applyFont="1" applyFill="1" applyBorder="1" applyAlignment="1" applyProtection="1">
      <alignment horizontal="left" vertical="top" wrapText="1"/>
    </xf>
    <xf numFmtId="0" fontId="25" fillId="4" borderId="23" xfId="0" applyFont="1" applyFill="1" applyBorder="1" applyAlignment="1" applyProtection="1">
      <alignment horizontal="center" vertical="center" wrapText="1"/>
    </xf>
    <xf numFmtId="1" fontId="25" fillId="4" borderId="14" xfId="0" applyNumberFormat="1" applyFont="1" applyFill="1" applyBorder="1" applyAlignment="1" applyProtection="1">
      <alignment horizontal="center" vertical="center" wrapText="1"/>
    </xf>
    <xf numFmtId="1" fontId="25" fillId="4" borderId="24" xfId="0" applyNumberFormat="1" applyFont="1" applyFill="1" applyBorder="1" applyAlignment="1" applyProtection="1">
      <alignment horizontal="center" vertical="center" wrapText="1"/>
    </xf>
    <xf numFmtId="1" fontId="25" fillId="4" borderId="17" xfId="0" applyNumberFormat="1" applyFont="1" applyFill="1" applyBorder="1" applyAlignment="1" applyProtection="1">
      <alignment horizontal="center" vertical="center" wrapText="1"/>
    </xf>
    <xf numFmtId="1" fontId="25" fillId="4" borderId="74" xfId="0" applyNumberFormat="1" applyFont="1" applyFill="1" applyBorder="1" applyAlignment="1" applyProtection="1">
      <alignment horizontal="center" vertical="center" wrapText="1"/>
    </xf>
    <xf numFmtId="1" fontId="25" fillId="4" borderId="41" xfId="0" applyNumberFormat="1" applyFont="1" applyFill="1" applyBorder="1" applyAlignment="1" applyProtection="1">
      <alignment horizontal="center" vertical="center" wrapText="1"/>
    </xf>
    <xf numFmtId="1" fontId="25" fillId="4" borderId="57" xfId="0" applyNumberFormat="1" applyFont="1" applyFill="1" applyBorder="1" applyAlignment="1" applyProtection="1">
      <alignment horizontal="center" vertical="center" wrapText="1"/>
    </xf>
    <xf numFmtId="1" fontId="25" fillId="4" borderId="31" xfId="0" applyNumberFormat="1" applyFont="1" applyFill="1" applyBorder="1" applyAlignment="1" applyProtection="1">
      <alignment horizontal="center" vertical="center" wrapText="1"/>
    </xf>
    <xf numFmtId="1" fontId="25" fillId="4" borderId="55" xfId="0" applyNumberFormat="1" applyFont="1" applyFill="1" applyBorder="1" applyAlignment="1" applyProtection="1">
      <alignment horizontal="center" vertical="center" wrapText="1"/>
    </xf>
    <xf numFmtId="1" fontId="25" fillId="4" borderId="31" xfId="0" applyNumberFormat="1" applyFont="1" applyFill="1" applyBorder="1" applyAlignment="1" applyProtection="1">
      <alignment vertical="top" wrapText="1"/>
    </xf>
    <xf numFmtId="0" fontId="0" fillId="0" borderId="55" xfId="0" applyBorder="1" applyAlignment="1">
      <alignment vertical="top" wrapText="1"/>
    </xf>
    <xf numFmtId="0" fontId="34" fillId="26" borderId="52" xfId="0" applyFont="1" applyFill="1" applyBorder="1" applyAlignment="1" applyProtection="1">
      <alignment horizontal="center" vertical="center"/>
    </xf>
    <xf numFmtId="0" fontId="34" fillId="26" borderId="5" xfId="0" applyFont="1" applyFill="1" applyBorder="1" applyAlignment="1" applyProtection="1">
      <alignment horizontal="center" vertical="center"/>
    </xf>
    <xf numFmtId="0" fontId="34" fillId="26" borderId="27" xfId="0" applyFont="1" applyFill="1" applyBorder="1" applyAlignment="1" applyProtection="1">
      <alignment horizontal="center" vertical="center"/>
    </xf>
    <xf numFmtId="166" fontId="32" fillId="26" borderId="53" xfId="0" applyNumberFormat="1" applyFont="1" applyFill="1" applyBorder="1" applyAlignment="1" applyProtection="1">
      <alignment horizontal="center" vertical="center" wrapText="1"/>
    </xf>
    <xf numFmtId="166" fontId="32" fillId="26" borderId="69" xfId="0" applyNumberFormat="1" applyFont="1" applyFill="1" applyBorder="1" applyAlignment="1" applyProtection="1">
      <alignment horizontal="center" vertical="center" wrapText="1"/>
    </xf>
    <xf numFmtId="166" fontId="25" fillId="0" borderId="0" xfId="0" quotePrefix="1" applyNumberFormat="1" applyFont="1" applyFill="1" applyBorder="1" applyAlignment="1" applyProtection="1">
      <alignment vertical="center"/>
    </xf>
    <xf numFmtId="166" fontId="25" fillId="0" borderId="0" xfId="0" applyNumberFormat="1" applyFont="1" applyFill="1" applyBorder="1" applyAlignment="1" applyProtection="1">
      <alignment vertical="center"/>
    </xf>
    <xf numFmtId="166" fontId="25" fillId="0" borderId="4" xfId="0" applyNumberFormat="1" applyFont="1" applyFill="1" applyBorder="1" applyAlignment="1" applyProtection="1">
      <alignment vertical="center"/>
    </xf>
    <xf numFmtId="0" fontId="34" fillId="26" borderId="7" xfId="0" applyFont="1" applyFill="1" applyBorder="1" applyAlignment="1" applyProtection="1">
      <alignment horizontal="center" vertical="center"/>
    </xf>
    <xf numFmtId="0" fontId="26" fillId="7" borderId="38" xfId="0" applyFont="1" applyFill="1" applyBorder="1" applyAlignment="1" applyProtection="1">
      <alignment horizontal="center" vertical="center" wrapText="1"/>
    </xf>
    <xf numFmtId="0" fontId="26" fillId="7" borderId="36" xfId="0" applyFont="1" applyFill="1" applyBorder="1" applyAlignment="1" applyProtection="1">
      <alignment horizontal="center" vertical="center" wrapText="1"/>
    </xf>
    <xf numFmtId="0" fontId="26" fillId="7" borderId="35" xfId="0" applyFont="1" applyFill="1" applyBorder="1" applyAlignment="1" applyProtection="1">
      <alignment horizontal="center" vertical="center" wrapText="1"/>
    </xf>
    <xf numFmtId="17" fontId="25" fillId="6" borderId="2" xfId="0" quotePrefix="1" applyNumberFormat="1"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1" fontId="25" fillId="0" borderId="2" xfId="0" applyNumberFormat="1" applyFont="1" applyFill="1" applyBorder="1" applyAlignment="1" applyProtection="1">
      <alignment horizontal="center" vertical="center" wrapText="1"/>
    </xf>
    <xf numFmtId="1" fontId="25" fillId="0" borderId="59" xfId="0" applyNumberFormat="1" applyFont="1" applyFill="1" applyBorder="1" applyAlignment="1" applyProtection="1">
      <alignment horizontal="center" vertical="center" wrapText="1"/>
    </xf>
    <xf numFmtId="1" fontId="25" fillId="0" borderId="1" xfId="0" applyNumberFormat="1" applyFont="1" applyFill="1" applyBorder="1" applyAlignment="1" applyProtection="1">
      <alignment horizontal="center" vertical="center" wrapText="1"/>
    </xf>
    <xf numFmtId="1" fontId="25" fillId="0" borderId="32" xfId="0" applyNumberFormat="1" applyFont="1" applyFill="1" applyBorder="1" applyAlignment="1" applyProtection="1">
      <alignment horizontal="center" vertical="center" wrapText="1"/>
    </xf>
    <xf numFmtId="1" fontId="25" fillId="0" borderId="3" xfId="0" applyNumberFormat="1" applyFont="1" applyFill="1" applyBorder="1" applyAlignment="1" applyProtection="1">
      <alignment horizontal="center" vertical="center" wrapText="1"/>
    </xf>
    <xf numFmtId="1" fontId="25" fillId="0" borderId="30" xfId="0" applyNumberFormat="1" applyFont="1" applyFill="1" applyBorder="1" applyAlignment="1" applyProtection="1">
      <alignment horizontal="center" vertical="center" wrapText="1"/>
    </xf>
    <xf numFmtId="1" fontId="25" fillId="4" borderId="2" xfId="0" applyNumberFormat="1" applyFont="1" applyFill="1" applyBorder="1" applyAlignment="1" applyProtection="1">
      <alignment horizontal="center" vertical="center"/>
    </xf>
    <xf numFmtId="1" fontId="25" fillId="4" borderId="59" xfId="0" applyNumberFormat="1" applyFont="1" applyFill="1" applyBorder="1" applyAlignment="1" applyProtection="1">
      <alignment horizontal="center" vertical="center"/>
    </xf>
    <xf numFmtId="1" fontId="25" fillId="4" borderId="1" xfId="0" applyNumberFormat="1" applyFont="1" applyFill="1" applyBorder="1" applyAlignment="1" applyProtection="1">
      <alignment horizontal="center" vertical="center"/>
    </xf>
    <xf numFmtId="1" fontId="25" fillId="4" borderId="32" xfId="0" applyNumberFormat="1" applyFont="1" applyFill="1" applyBorder="1" applyAlignment="1" applyProtection="1">
      <alignment horizontal="center" vertical="center"/>
    </xf>
    <xf numFmtId="1" fontId="25" fillId="4" borderId="3" xfId="0" applyNumberFormat="1" applyFont="1" applyFill="1" applyBorder="1" applyAlignment="1" applyProtection="1">
      <alignment horizontal="center" vertical="center"/>
    </xf>
    <xf numFmtId="1" fontId="25" fillId="4" borderId="30" xfId="0" applyNumberFormat="1" applyFont="1" applyFill="1" applyBorder="1" applyAlignment="1" applyProtection="1">
      <alignment horizontal="center" vertical="center"/>
    </xf>
    <xf numFmtId="0" fontId="25" fillId="0" borderId="2" xfId="0" quotePrefix="1" applyFont="1" applyFill="1" applyBorder="1" applyAlignment="1" applyProtection="1">
      <alignment horizontal="center" vertical="center" wrapText="1"/>
    </xf>
    <xf numFmtId="0" fontId="25" fillId="0" borderId="1" xfId="0" quotePrefix="1" applyFont="1" applyFill="1" applyBorder="1" applyAlignment="1" applyProtection="1">
      <alignment horizontal="center" vertical="center" wrapText="1"/>
    </xf>
    <xf numFmtId="0" fontId="25" fillId="0" borderId="3" xfId="0" quotePrefix="1" applyFont="1" applyFill="1" applyBorder="1" applyAlignment="1" applyProtection="1">
      <alignment horizontal="center" vertical="center" wrapText="1"/>
    </xf>
    <xf numFmtId="0" fontId="25" fillId="0" borderId="2"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14" xfId="0" quotePrefix="1" applyFont="1" applyBorder="1" applyAlignment="1" applyProtection="1">
      <alignment horizontal="center" vertical="center" wrapText="1"/>
    </xf>
    <xf numFmtId="0" fontId="25" fillId="0" borderId="24" xfId="0" quotePrefix="1" applyFont="1" applyBorder="1" applyAlignment="1" applyProtection="1">
      <alignment horizontal="center" vertical="center" wrapText="1"/>
    </xf>
    <xf numFmtId="0" fontId="25" fillId="0" borderId="1" xfId="0" quotePrefix="1" applyFont="1" applyBorder="1" applyAlignment="1" applyProtection="1">
      <alignment horizontal="left" vertical="top" wrapText="1"/>
    </xf>
    <xf numFmtId="0" fontId="25" fillId="0" borderId="32" xfId="0" quotePrefix="1" applyFont="1" applyBorder="1" applyAlignment="1" applyProtection="1">
      <alignment horizontal="left" vertical="top" wrapText="1"/>
    </xf>
    <xf numFmtId="0" fontId="25" fillId="0" borderId="3" xfId="0" quotePrefix="1" applyFont="1" applyBorder="1" applyAlignment="1" applyProtection="1">
      <alignment horizontal="left" vertical="top" wrapText="1"/>
    </xf>
    <xf numFmtId="0" fontId="25" fillId="0" borderId="30" xfId="0" quotePrefix="1" applyFont="1" applyBorder="1" applyAlignment="1" applyProtection="1">
      <alignment horizontal="left" vertical="top" wrapText="1"/>
    </xf>
    <xf numFmtId="0" fontId="25" fillId="5" borderId="2" xfId="0" applyFont="1" applyFill="1" applyBorder="1" applyAlignment="1" applyProtection="1">
      <alignment horizontal="center" vertical="top" wrapText="1"/>
    </xf>
    <xf numFmtId="0" fontId="25" fillId="5" borderId="59" xfId="0" applyFont="1" applyFill="1" applyBorder="1" applyAlignment="1" applyProtection="1">
      <alignment horizontal="center" vertical="top" wrapText="1"/>
    </xf>
    <xf numFmtId="0" fontId="25" fillId="5" borderId="1" xfId="0" applyFont="1" applyFill="1" applyBorder="1" applyAlignment="1" applyProtection="1">
      <alignment horizontal="center" vertical="top" wrapText="1"/>
    </xf>
    <xf numFmtId="0" fontId="25" fillId="5" borderId="32" xfId="0" applyFont="1" applyFill="1" applyBorder="1" applyAlignment="1" applyProtection="1">
      <alignment horizontal="center" vertical="top" wrapText="1"/>
    </xf>
    <xf numFmtId="0" fontId="25" fillId="5" borderId="3" xfId="0" applyFont="1" applyFill="1" applyBorder="1" applyAlignment="1" applyProtection="1">
      <alignment horizontal="center" vertical="top" wrapText="1"/>
    </xf>
    <xf numFmtId="0" fontId="25" fillId="5" borderId="30" xfId="0" applyFont="1" applyFill="1" applyBorder="1" applyAlignment="1" applyProtection="1">
      <alignment horizontal="center" vertical="top" wrapText="1"/>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0" xfId="0" applyFont="1" applyBorder="1" applyAlignment="1" applyProtection="1">
      <alignment horizontal="right" vertical="center" wrapText="1"/>
    </xf>
    <xf numFmtId="0" fontId="3" fillId="0" borderId="66" xfId="0" applyFont="1" applyBorder="1" applyAlignment="1" applyProtection="1">
      <alignment horizontal="right" vertical="center" wrapText="1"/>
    </xf>
    <xf numFmtId="0" fontId="3" fillId="0" borderId="58" xfId="0" applyFont="1" applyBorder="1" applyAlignment="1" applyProtection="1">
      <alignment horizontal="right" vertical="center" wrapText="1"/>
    </xf>
    <xf numFmtId="10" fontId="8" fillId="2" borderId="50" xfId="0" applyNumberFormat="1" applyFont="1" applyFill="1" applyBorder="1" applyAlignment="1" applyProtection="1">
      <alignment horizontal="center" vertical="center"/>
    </xf>
    <xf numFmtId="10" fontId="8" fillId="2" borderId="58" xfId="0" applyNumberFormat="1" applyFont="1" applyFill="1" applyBorder="1" applyAlignment="1" applyProtection="1">
      <alignment horizontal="center" vertical="center"/>
    </xf>
    <xf numFmtId="0" fontId="5" fillId="0" borderId="60" xfId="0" applyFont="1" applyBorder="1" applyAlignment="1" applyProtection="1">
      <alignment horizontal="left" vertical="center"/>
    </xf>
    <xf numFmtId="0" fontId="0" fillId="0" borderId="61" xfId="0" applyBorder="1" applyAlignment="1" applyProtection="1">
      <alignment horizontal="left" vertical="center"/>
    </xf>
    <xf numFmtId="166" fontId="0" fillId="0" borderId="61" xfId="0" applyNumberFormat="1" applyFill="1" applyBorder="1" applyAlignment="1" applyProtection="1">
      <alignment horizontal="center" vertical="center"/>
    </xf>
    <xf numFmtId="166" fontId="0" fillId="0" borderId="55" xfId="0" applyNumberForma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55" xfId="0"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0" borderId="60" xfId="0" applyBorder="1" applyAlignment="1" applyProtection="1">
      <alignment horizontal="left" vertical="center"/>
    </xf>
    <xf numFmtId="0" fontId="0" fillId="0" borderId="61" xfId="0" applyBorder="1" applyAlignment="1" applyProtection="1">
      <alignment horizontal="center" vertical="center"/>
    </xf>
    <xf numFmtId="0" fontId="0" fillId="0" borderId="55" xfId="0"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5" fillId="0" borderId="62" xfId="0" applyFont="1" applyBorder="1" applyAlignment="1" applyProtection="1">
      <alignment horizontal="left" vertical="center"/>
    </xf>
    <xf numFmtId="0" fontId="0" fillId="0" borderId="63" xfId="0" applyBorder="1" applyAlignment="1" applyProtection="1">
      <alignment horizontal="left" vertical="center"/>
    </xf>
    <xf numFmtId="167" fontId="0" fillId="0" borderId="63" xfId="0" applyNumberFormat="1" applyFill="1" applyBorder="1" applyAlignment="1" applyProtection="1">
      <alignment horizontal="center" vertical="center"/>
    </xf>
    <xf numFmtId="167" fontId="0" fillId="0" borderId="56" xfId="0" applyNumberForma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31" fillId="17" borderId="18" xfId="0" applyFont="1" applyFill="1" applyBorder="1" applyAlignment="1" applyProtection="1">
      <alignment horizontal="center" vertical="center"/>
    </xf>
    <xf numFmtId="0" fontId="31" fillId="17" borderId="14" xfId="0" applyFont="1" applyFill="1" applyBorder="1" applyAlignment="1" applyProtection="1">
      <alignment horizontal="center" vertical="center"/>
    </xf>
    <xf numFmtId="0" fontId="3" fillId="0" borderId="20" xfId="0" applyFont="1" applyFill="1" applyBorder="1" applyAlignment="1" applyProtection="1">
      <alignment horizontal="left" vertical="top" wrapText="1"/>
      <protection locked="0"/>
    </xf>
    <xf numFmtId="0" fontId="5" fillId="0" borderId="48" xfId="0" applyFont="1" applyFill="1" applyBorder="1" applyAlignment="1" applyProtection="1">
      <alignment horizontal="left" vertical="top" wrapText="1"/>
      <protection locked="0"/>
    </xf>
    <xf numFmtId="0" fontId="20" fillId="9" borderId="14" xfId="0" applyNumberFormat="1" applyFont="1" applyFill="1" applyBorder="1" applyAlignment="1" applyProtection="1">
      <alignment horizontal="center" vertical="center" wrapText="1"/>
    </xf>
    <xf numFmtId="0" fontId="20" fillId="9" borderId="1" xfId="0" applyNumberFormat="1" applyFont="1" applyFill="1" applyBorder="1" applyAlignment="1" applyProtection="1">
      <alignment horizontal="center" vertical="center" wrapText="1"/>
    </xf>
    <xf numFmtId="0" fontId="20" fillId="9" borderId="3" xfId="0" applyNumberFormat="1" applyFont="1" applyFill="1" applyBorder="1" applyAlignment="1" applyProtection="1">
      <alignment horizontal="center" vertical="center" wrapText="1"/>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0" fontId="0" fillId="0" borderId="13" xfId="0" applyBorder="1" applyAlignment="1" applyProtection="1">
      <alignment horizontal="center" vertical="center"/>
    </xf>
    <xf numFmtId="0" fontId="10" fillId="16" borderId="14" xfId="0" applyFont="1" applyFill="1" applyBorder="1" applyAlignment="1" applyProtection="1">
      <alignment horizontal="center" vertical="center" wrapText="1"/>
    </xf>
    <xf numFmtId="0" fontId="10" fillId="16" borderId="3" xfId="0" applyFont="1" applyFill="1" applyBorder="1" applyAlignment="1" applyProtection="1">
      <alignment horizontal="center" vertical="center" wrapText="1"/>
    </xf>
    <xf numFmtId="0" fontId="10" fillId="16" borderId="24" xfId="0" applyFont="1" applyFill="1" applyBorder="1" applyAlignment="1" applyProtection="1">
      <alignment horizontal="center" vertical="center" wrapText="1"/>
    </xf>
    <xf numFmtId="0" fontId="10" fillId="16" borderId="30" xfId="0" applyFont="1" applyFill="1" applyBorder="1" applyAlignment="1" applyProtection="1">
      <alignment horizontal="center" vertical="center" wrapText="1"/>
    </xf>
    <xf numFmtId="0" fontId="10" fillId="16" borderId="34" xfId="0" applyFont="1" applyFill="1" applyBorder="1" applyAlignment="1" applyProtection="1">
      <alignment horizontal="center" vertical="center"/>
    </xf>
    <xf numFmtId="0" fontId="10" fillId="16" borderId="14" xfId="0" applyFont="1" applyFill="1" applyBorder="1" applyAlignment="1" applyProtection="1">
      <alignment horizontal="center" vertical="center"/>
    </xf>
    <xf numFmtId="0" fontId="17" fillId="16" borderId="14" xfId="0" applyFont="1" applyFill="1" applyBorder="1" applyAlignment="1" applyProtection="1">
      <alignment horizontal="center" vertical="center"/>
    </xf>
    <xf numFmtId="0" fontId="20" fillId="9" borderId="23" xfId="0" applyNumberFormat="1" applyFont="1" applyFill="1" applyBorder="1" applyAlignment="1" applyProtection="1">
      <alignment horizontal="center" vertical="center" wrapText="1"/>
    </xf>
    <xf numFmtId="0" fontId="20" fillId="9" borderId="14" xfId="0" applyNumberFormat="1" applyFont="1" applyFill="1" applyBorder="1" applyAlignment="1" applyProtection="1">
      <alignment horizontal="left" vertical="center" wrapText="1"/>
    </xf>
    <xf numFmtId="0" fontId="20" fillId="9" borderId="1" xfId="0" applyNumberFormat="1" applyFont="1" applyFill="1" applyBorder="1" applyAlignment="1" applyProtection="1">
      <alignment horizontal="left" vertical="center" wrapText="1"/>
    </xf>
    <xf numFmtId="0" fontId="20" fillId="9" borderId="23" xfId="0" applyNumberFormat="1" applyFont="1" applyFill="1" applyBorder="1" applyAlignment="1" applyProtection="1">
      <alignment horizontal="left" vertical="center" wrapText="1"/>
    </xf>
    <xf numFmtId="0" fontId="20" fillId="10" borderId="34" xfId="0" applyNumberFormat="1" applyFont="1" applyFill="1" applyBorder="1" applyAlignment="1" applyProtection="1">
      <alignment horizontal="center" vertical="center" wrapText="1"/>
    </xf>
    <xf numFmtId="0" fontId="20" fillId="10" borderId="36" xfId="0" applyNumberFormat="1" applyFont="1" applyFill="1" applyBorder="1" applyAlignment="1" applyProtection="1">
      <alignment horizontal="center" vertical="center" wrapText="1"/>
    </xf>
    <xf numFmtId="0" fontId="20" fillId="10" borderId="8" xfId="0" applyNumberFormat="1" applyFont="1" applyFill="1" applyBorder="1" applyAlignment="1" applyProtection="1">
      <alignment horizontal="center" vertical="center" wrapText="1"/>
    </xf>
    <xf numFmtId="0" fontId="20" fillId="9" borderId="3" xfId="0" applyNumberFormat="1" applyFont="1" applyFill="1" applyBorder="1" applyAlignment="1" applyProtection="1">
      <alignment horizontal="left" vertical="center" wrapText="1"/>
    </xf>
    <xf numFmtId="0" fontId="20" fillId="10" borderId="35"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left" vertical="top" wrapText="1"/>
      <protection locked="0"/>
    </xf>
    <xf numFmtId="0" fontId="5" fillId="0" borderId="4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5" fillId="0" borderId="59"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5" fillId="0" borderId="32" xfId="0" applyFont="1" applyFill="1" applyBorder="1" applyAlignment="1" applyProtection="1">
      <alignment horizontal="left" vertical="top" wrapText="1"/>
      <protection locked="0"/>
    </xf>
    <xf numFmtId="0" fontId="20" fillId="9" borderId="2" xfId="0" applyNumberFormat="1" applyFont="1" applyFill="1" applyBorder="1" applyAlignment="1" applyProtection="1">
      <alignment horizontal="center" vertical="center" wrapText="1"/>
    </xf>
    <xf numFmtId="0" fontId="20" fillId="9" borderId="2" xfId="0" applyNumberFormat="1" applyFont="1" applyFill="1" applyBorder="1" applyAlignment="1" applyProtection="1">
      <alignment horizontal="left" vertical="center" wrapText="1"/>
    </xf>
    <xf numFmtId="0" fontId="20" fillId="10" borderId="38" xfId="0" applyNumberFormat="1" applyFont="1" applyFill="1" applyBorder="1" applyAlignment="1" applyProtection="1">
      <alignment horizontal="center" vertical="center" wrapText="1"/>
    </xf>
    <xf numFmtId="0" fontId="3" fillId="0" borderId="29" xfId="0" applyFont="1" applyFill="1"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20" fillId="9" borderId="18" xfId="0" applyNumberFormat="1" applyFont="1" applyFill="1" applyBorder="1" applyAlignment="1" applyProtection="1">
      <alignment horizontal="center" vertical="center" wrapText="1"/>
    </xf>
    <xf numFmtId="0" fontId="20" fillId="9" borderId="19" xfId="0" applyNumberFormat="1" applyFont="1" applyFill="1" applyBorder="1" applyAlignment="1" applyProtection="1">
      <alignment horizontal="center" vertical="center" wrapText="1"/>
    </xf>
    <xf numFmtId="0" fontId="20" fillId="9" borderId="22" xfId="0" applyNumberFormat="1" applyFont="1" applyFill="1" applyBorder="1" applyAlignment="1" applyProtection="1">
      <alignment horizontal="center" vertical="center" wrapText="1"/>
    </xf>
    <xf numFmtId="0" fontId="20" fillId="9" borderId="20" xfId="0" applyNumberFormat="1" applyFont="1" applyFill="1" applyBorder="1" applyAlignment="1" applyProtection="1">
      <alignment horizontal="left" vertical="center" wrapText="1"/>
    </xf>
    <xf numFmtId="0" fontId="20" fillId="9" borderId="41" xfId="0" applyNumberFormat="1" applyFont="1" applyFill="1" applyBorder="1" applyAlignment="1" applyProtection="1">
      <alignment horizontal="center" vertical="center" wrapText="1"/>
    </xf>
    <xf numFmtId="0" fontId="20" fillId="9" borderId="31" xfId="0" applyNumberFormat="1" applyFont="1" applyFill="1" applyBorder="1" applyAlignment="1" applyProtection="1">
      <alignment horizontal="center" vertical="center" wrapText="1"/>
    </xf>
    <xf numFmtId="0" fontId="20" fillId="9" borderId="17" xfId="0" applyNumberFormat="1" applyFont="1" applyFill="1" applyBorder="1" applyAlignment="1" applyProtection="1">
      <alignment horizontal="center" vertical="center" wrapText="1"/>
    </xf>
    <xf numFmtId="165" fontId="0" fillId="0" borderId="14" xfId="4" applyNumberFormat="1" applyFont="1" applyBorder="1" applyAlignment="1" applyProtection="1">
      <alignment horizontal="center" vertical="center"/>
    </xf>
    <xf numFmtId="165" fontId="0" fillId="0" borderId="1" xfId="4" applyNumberFormat="1" applyFont="1" applyBorder="1" applyAlignment="1" applyProtection="1">
      <alignment horizontal="center" vertical="center"/>
    </xf>
    <xf numFmtId="10" fontId="0" fillId="0" borderId="14" xfId="4" applyNumberFormat="1" applyFont="1" applyFill="1" applyBorder="1" applyAlignment="1" applyProtection="1">
      <alignment horizontal="center" vertical="center" wrapText="1"/>
    </xf>
    <xf numFmtId="10" fontId="0" fillId="0" borderId="1" xfId="4" applyNumberFormat="1" applyFont="1" applyFill="1" applyBorder="1" applyAlignment="1" applyProtection="1">
      <alignment horizontal="center" vertical="center" wrapText="1"/>
    </xf>
    <xf numFmtId="10" fontId="0" fillId="0" borderId="14" xfId="4" applyNumberFormat="1" applyFont="1" applyFill="1" applyBorder="1" applyAlignment="1" applyProtection="1">
      <alignment horizontal="center" vertical="center"/>
    </xf>
    <xf numFmtId="10" fontId="0" fillId="0" borderId="1" xfId="4" applyNumberFormat="1" applyFont="1" applyFill="1" applyBorder="1" applyAlignment="1" applyProtection="1">
      <alignment horizontal="center" vertical="center"/>
    </xf>
    <xf numFmtId="10" fontId="0" fillId="0" borderId="23" xfId="4" applyNumberFormat="1" applyFont="1" applyFill="1" applyBorder="1" applyAlignment="1" applyProtection="1">
      <alignment horizontal="center" vertical="center"/>
    </xf>
    <xf numFmtId="0" fontId="0" fillId="0" borderId="14"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10" fontId="0" fillId="0" borderId="23" xfId="4" applyNumberFormat="1" applyFont="1" applyFill="1" applyBorder="1" applyAlignment="1" applyProtection="1">
      <alignment horizontal="center" vertical="center" wrapText="1"/>
    </xf>
    <xf numFmtId="2" fontId="0" fillId="0" borderId="14" xfId="4" applyNumberFormat="1" applyFont="1" applyFill="1" applyBorder="1" applyAlignment="1" applyProtection="1">
      <alignment horizontal="center" vertical="center" wrapText="1"/>
    </xf>
    <xf numFmtId="2" fontId="0" fillId="0" borderId="1" xfId="4" applyNumberFormat="1" applyFont="1" applyFill="1" applyBorder="1" applyAlignment="1" applyProtection="1">
      <alignment horizontal="center" vertical="center" wrapText="1"/>
    </xf>
    <xf numFmtId="2" fontId="0" fillId="0" borderId="23" xfId="4" applyNumberFormat="1" applyFont="1" applyFill="1" applyBorder="1" applyAlignment="1" applyProtection="1">
      <alignment horizontal="center" vertical="center" wrapText="1"/>
    </xf>
    <xf numFmtId="165" fontId="0" fillId="0" borderId="23" xfId="4" applyNumberFormat="1" applyFont="1" applyBorder="1" applyAlignment="1" applyProtection="1">
      <alignment horizontal="center" vertical="center"/>
    </xf>
    <xf numFmtId="10" fontId="31" fillId="17" borderId="14" xfId="0" applyNumberFormat="1" applyFont="1" applyFill="1" applyBorder="1" applyAlignment="1" applyProtection="1">
      <alignment horizontal="center" vertical="center" wrapText="1"/>
    </xf>
    <xf numFmtId="10" fontId="31" fillId="17" borderId="24" xfId="0" applyNumberFormat="1" applyFont="1" applyFill="1" applyBorder="1" applyAlignment="1" applyProtection="1">
      <alignment horizontal="center" vertical="center" wrapText="1"/>
    </xf>
    <xf numFmtId="9" fontId="0" fillId="0" borderId="24" xfId="4" applyFont="1" applyFill="1" applyBorder="1" applyAlignment="1" applyProtection="1">
      <alignment horizontal="center" vertical="center"/>
    </xf>
    <xf numFmtId="9" fontId="0" fillId="0" borderId="32" xfId="4" applyFont="1" applyFill="1" applyBorder="1" applyAlignment="1" applyProtection="1">
      <alignment horizontal="center" vertical="center"/>
    </xf>
    <xf numFmtId="9" fontId="0" fillId="0" borderId="51" xfId="4" applyFont="1" applyFill="1" applyBorder="1" applyAlignment="1" applyProtection="1">
      <alignment horizontal="center" vertical="center"/>
    </xf>
    <xf numFmtId="0" fontId="22" fillId="29" borderId="50" xfId="0" applyFont="1" applyFill="1" applyBorder="1" applyAlignment="1" applyProtection="1">
      <alignment horizontal="center" vertical="center" wrapText="1"/>
    </xf>
    <xf numFmtId="0" fontId="22" fillId="29" borderId="66" xfId="0" applyFont="1" applyFill="1" applyBorder="1" applyAlignment="1" applyProtection="1">
      <alignment horizontal="center" vertical="center" wrapText="1"/>
    </xf>
    <xf numFmtId="0" fontId="22" fillId="29" borderId="5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165" fontId="0" fillId="0" borderId="3" xfId="4" applyNumberFormat="1" applyFont="1" applyBorder="1" applyAlignment="1" applyProtection="1">
      <alignment horizontal="center" vertical="center"/>
    </xf>
    <xf numFmtId="10" fontId="20" fillId="0" borderId="14" xfId="4" applyNumberFormat="1" applyFont="1" applyFill="1" applyBorder="1" applyAlignment="1" applyProtection="1">
      <alignment horizontal="center" vertical="center" wrapText="1"/>
    </xf>
    <xf numFmtId="10" fontId="20" fillId="0" borderId="3" xfId="4" applyNumberFormat="1"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21" borderId="14" xfId="0"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44" fillId="0" borderId="24" xfId="7" applyFill="1" applyBorder="1" applyAlignment="1" applyProtection="1">
      <alignment horizontal="center" vertical="center" wrapText="1"/>
    </xf>
    <xf numFmtId="0" fontId="44" fillId="0" borderId="30" xfId="7" applyFill="1" applyBorder="1" applyAlignment="1" applyProtection="1">
      <alignment horizontal="center" vertical="center" wrapText="1"/>
    </xf>
    <xf numFmtId="0" fontId="20" fillId="25" borderId="14" xfId="0" applyFont="1" applyFill="1" applyBorder="1" applyAlignment="1" applyProtection="1">
      <alignment horizontal="center" vertical="center" wrapText="1"/>
    </xf>
    <xf numFmtId="0" fontId="20" fillId="25" borderId="1" xfId="0" applyFont="1" applyFill="1" applyBorder="1" applyAlignment="1" applyProtection="1">
      <alignment horizontal="center" vertical="center" wrapText="1"/>
    </xf>
    <xf numFmtId="0" fontId="20" fillId="25" borderId="3" xfId="0" applyFont="1" applyFill="1" applyBorder="1" applyAlignment="1" applyProtection="1">
      <alignment horizontal="center" vertical="center" wrapText="1"/>
    </xf>
    <xf numFmtId="10" fontId="20" fillId="0" borderId="1" xfId="4" applyNumberFormat="1" applyFont="1" applyFill="1" applyBorder="1" applyAlignment="1" applyProtection="1">
      <alignment horizontal="center" vertical="center" wrapText="1"/>
    </xf>
    <xf numFmtId="165" fontId="1" fillId="21" borderId="14" xfId="4" applyNumberFormat="1" applyFont="1" applyFill="1" applyBorder="1" applyAlignment="1" applyProtection="1">
      <alignment horizontal="center" vertical="center"/>
    </xf>
    <xf numFmtId="165" fontId="1" fillId="21" borderId="1" xfId="4" applyNumberFormat="1" applyFont="1" applyFill="1" applyBorder="1" applyAlignment="1" applyProtection="1">
      <alignment horizontal="center" vertical="center"/>
    </xf>
    <xf numFmtId="165" fontId="1" fillId="21" borderId="23" xfId="4" applyNumberFormat="1" applyFont="1" applyFill="1" applyBorder="1" applyAlignment="1" applyProtection="1">
      <alignment horizontal="center" vertical="center"/>
    </xf>
    <xf numFmtId="165" fontId="1" fillId="21" borderId="3" xfId="4" applyNumberFormat="1" applyFont="1" applyFill="1" applyBorder="1" applyAlignment="1" applyProtection="1">
      <alignment horizontal="center" vertical="center"/>
    </xf>
    <xf numFmtId="0" fontId="5" fillId="20" borderId="14"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20" fillId="23" borderId="14" xfId="0" applyFont="1" applyFill="1" applyBorder="1" applyAlignment="1" applyProtection="1">
      <alignment horizontal="center" vertical="center" wrapText="1"/>
    </xf>
    <xf numFmtId="0" fontId="20" fillId="23" borderId="3" xfId="0" applyFont="1" applyFill="1" applyBorder="1" applyAlignment="1" applyProtection="1">
      <alignment horizontal="center" vertical="center" wrapText="1"/>
    </xf>
    <xf numFmtId="0" fontId="20" fillId="23" borderId="14" xfId="0" applyFont="1" applyFill="1" applyBorder="1" applyAlignment="1" applyProtection="1">
      <alignment horizontal="left" vertical="top" wrapText="1"/>
    </xf>
    <xf numFmtId="0" fontId="20" fillId="23" borderId="3" xfId="0" applyFont="1" applyFill="1" applyBorder="1" applyAlignment="1" applyProtection="1">
      <alignment horizontal="left" vertical="top" wrapText="1"/>
    </xf>
    <xf numFmtId="0" fontId="3" fillId="23" borderId="14" xfId="0" applyFont="1" applyFill="1" applyBorder="1" applyAlignment="1" applyProtection="1">
      <alignment horizontal="center" vertical="center" wrapText="1"/>
    </xf>
    <xf numFmtId="0" fontId="3" fillId="23" borderId="3"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xf>
    <xf numFmtId="10" fontId="20" fillId="0" borderId="23" xfId="4" applyNumberFormat="1" applyFont="1" applyFill="1" applyBorder="1" applyAlignment="1" applyProtection="1">
      <alignment horizontal="center" vertical="center" wrapText="1"/>
    </xf>
    <xf numFmtId="0" fontId="3" fillId="4" borderId="14" xfId="0" applyFont="1" applyFill="1" applyBorder="1" applyAlignment="1" applyProtection="1">
      <alignment horizontal="left" vertical="top" wrapText="1"/>
    </xf>
    <xf numFmtId="0" fontId="3" fillId="4" borderId="24"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0" fontId="1" fillId="4" borderId="23" xfId="0" applyFont="1" applyFill="1" applyBorder="1" applyAlignment="1" applyProtection="1">
      <alignment horizontal="left" vertical="top" wrapText="1"/>
      <protection locked="0"/>
    </xf>
    <xf numFmtId="0" fontId="1" fillId="4" borderId="51"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xf>
    <xf numFmtId="0" fontId="1" fillId="4" borderId="30" xfId="0" applyFont="1" applyFill="1" applyBorder="1" applyAlignment="1" applyProtection="1">
      <alignment horizontal="left" vertical="top" wrapText="1"/>
    </xf>
    <xf numFmtId="0" fontId="3" fillId="23" borderId="1" xfId="0" applyFont="1" applyFill="1" applyBorder="1" applyAlignment="1" applyProtection="1">
      <alignment horizontal="center" vertical="center" wrapText="1"/>
    </xf>
    <xf numFmtId="0" fontId="3" fillId="23" borderId="23" xfId="0" applyFont="1" applyFill="1" applyBorder="1" applyAlignment="1" applyProtection="1">
      <alignment horizontal="center" vertical="center" wrapText="1"/>
    </xf>
    <xf numFmtId="0" fontId="3" fillId="23" borderId="16" xfId="0" applyFont="1" applyFill="1" applyBorder="1" applyAlignment="1" applyProtection="1">
      <alignment horizontal="center" vertical="center" wrapText="1"/>
    </xf>
    <xf numFmtId="0" fontId="3" fillId="23" borderId="20" xfId="0" applyFont="1" applyFill="1" applyBorder="1" applyAlignment="1" applyProtection="1">
      <alignment horizontal="center" vertical="center" wrapText="1"/>
    </xf>
    <xf numFmtId="0" fontId="20" fillId="23" borderId="16" xfId="0" applyFont="1" applyFill="1" applyBorder="1" applyAlignment="1" applyProtection="1">
      <alignment horizontal="left" vertical="top" wrapText="1"/>
    </xf>
    <xf numFmtId="0" fontId="20" fillId="23" borderId="20" xfId="0" applyFont="1" applyFill="1" applyBorder="1" applyAlignment="1" applyProtection="1">
      <alignment horizontal="left" vertical="top" wrapText="1"/>
    </xf>
    <xf numFmtId="0" fontId="20" fillId="23" borderId="16" xfId="0" applyFont="1" applyFill="1" applyBorder="1" applyAlignment="1" applyProtection="1">
      <alignment horizontal="center" vertical="center" wrapText="1"/>
    </xf>
    <xf numFmtId="0" fontId="20" fillId="23" borderId="20" xfId="0" applyFont="1" applyFill="1" applyBorder="1" applyAlignment="1" applyProtection="1">
      <alignment horizontal="center" vertical="center" wrapText="1"/>
    </xf>
    <xf numFmtId="0" fontId="5" fillId="20" borderId="16" xfId="0" applyFont="1" applyFill="1" applyBorder="1" applyAlignment="1" applyProtection="1">
      <alignment horizontal="center" vertical="center" wrapText="1"/>
    </xf>
    <xf numFmtId="0" fontId="5" fillId="20" borderId="20" xfId="0" applyFont="1" applyFill="1" applyBorder="1" applyAlignment="1" applyProtection="1">
      <alignment horizontal="center" vertical="center" wrapText="1"/>
    </xf>
    <xf numFmtId="0" fontId="22" fillId="29" borderId="34" xfId="0" applyFont="1" applyFill="1" applyBorder="1" applyAlignment="1" applyProtection="1">
      <alignment horizontal="center" vertical="center" wrapText="1"/>
    </xf>
    <xf numFmtId="0" fontId="22" fillId="29" borderId="14" xfId="0" applyFont="1" applyFill="1" applyBorder="1" applyAlignment="1" applyProtection="1">
      <alignment horizontal="center" vertical="center" wrapText="1"/>
    </xf>
    <xf numFmtId="0" fontId="22" fillId="29" borderId="24" xfId="0" applyFont="1" applyFill="1" applyBorder="1" applyAlignment="1" applyProtection="1">
      <alignment horizontal="center" vertical="center" wrapText="1"/>
    </xf>
    <xf numFmtId="0" fontId="20" fillId="0" borderId="36" xfId="0" applyFont="1" applyBorder="1" applyAlignment="1" applyProtection="1">
      <alignment horizontal="left" vertical="top"/>
    </xf>
    <xf numFmtId="0" fontId="20" fillId="0" borderId="1" xfId="0" applyFont="1" applyBorder="1" applyAlignment="1" applyProtection="1">
      <alignment horizontal="left" vertical="top"/>
    </xf>
    <xf numFmtId="0" fontId="20" fillId="0" borderId="32" xfId="0" applyFont="1" applyBorder="1" applyAlignment="1" applyProtection="1">
      <alignment horizontal="left" vertical="top"/>
    </xf>
    <xf numFmtId="0" fontId="20" fillId="0" borderId="36" xfId="0" applyFont="1" applyBorder="1" applyAlignment="1" applyProtection="1">
      <alignment horizontal="left" vertical="center"/>
    </xf>
    <xf numFmtId="0" fontId="20" fillId="0" borderId="1" xfId="0" applyFont="1" applyBorder="1" applyAlignment="1" applyProtection="1">
      <alignment horizontal="left" vertical="center"/>
    </xf>
    <xf numFmtId="0" fontId="20" fillId="0" borderId="32" xfId="0" applyFont="1" applyBorder="1" applyAlignment="1" applyProtection="1">
      <alignment horizontal="left" vertical="center"/>
    </xf>
    <xf numFmtId="0" fontId="23" fillId="26" borderId="16" xfId="0" applyFont="1" applyFill="1" applyBorder="1" applyAlignment="1" applyProtection="1">
      <alignment horizontal="center" vertical="center" wrapText="1"/>
    </xf>
    <xf numFmtId="0" fontId="23" fillId="26" borderId="20" xfId="0" applyFont="1" applyFill="1" applyBorder="1" applyAlignment="1" applyProtection="1">
      <alignment horizontal="center" vertical="center" wrapText="1"/>
    </xf>
    <xf numFmtId="0" fontId="5" fillId="20" borderId="2" xfId="0" applyFont="1" applyFill="1" applyBorder="1" applyAlignment="1" applyProtection="1">
      <alignment horizontal="center" vertical="center" wrapText="1"/>
    </xf>
    <xf numFmtId="0" fontId="5" fillId="20" borderId="1" xfId="0" applyFont="1" applyFill="1" applyBorder="1" applyAlignment="1" applyProtection="1">
      <alignment horizontal="center" vertical="center" wrapText="1"/>
    </xf>
    <xf numFmtId="0" fontId="20" fillId="23" borderId="2" xfId="0" applyFont="1" applyFill="1" applyBorder="1" applyAlignment="1" applyProtection="1">
      <alignment horizontal="center" vertical="center" wrapText="1"/>
    </xf>
    <xf numFmtId="0" fontId="20" fillId="23" borderId="1" xfId="0" applyFont="1" applyFill="1" applyBorder="1" applyAlignment="1" applyProtection="1">
      <alignment horizontal="center" vertical="center" wrapText="1"/>
    </xf>
    <xf numFmtId="0" fontId="20" fillId="23" borderId="2" xfId="0" applyFont="1" applyFill="1" applyBorder="1" applyAlignment="1" applyProtection="1">
      <alignment horizontal="left" vertical="top" wrapText="1"/>
    </xf>
    <xf numFmtId="0" fontId="20" fillId="23" borderId="1" xfId="0" applyFont="1" applyFill="1" applyBorder="1" applyAlignment="1" applyProtection="1">
      <alignment horizontal="left" vertical="top" wrapText="1"/>
    </xf>
    <xf numFmtId="0" fontId="3" fillId="23" borderId="2" xfId="0" applyFont="1" applyFill="1" applyBorder="1" applyAlignment="1" applyProtection="1">
      <alignment horizontal="center" vertical="center" wrapText="1"/>
    </xf>
    <xf numFmtId="0" fontId="45" fillId="0" borderId="1" xfId="0" applyFont="1" applyBorder="1" applyAlignment="1" applyProtection="1">
      <alignment horizontal="left" vertical="top" wrapText="1"/>
      <protection locked="0"/>
    </xf>
    <xf numFmtId="0" fontId="45" fillId="0" borderId="32" xfId="0" applyFont="1" applyBorder="1" applyAlignment="1" applyProtection="1">
      <alignment horizontal="left" vertical="top" wrapText="1"/>
      <protection locked="0"/>
    </xf>
    <xf numFmtId="0" fontId="45" fillId="4" borderId="1" xfId="0" applyFont="1" applyFill="1" applyBorder="1" applyAlignment="1" applyProtection="1">
      <alignment horizontal="left" vertical="top" wrapText="1"/>
      <protection locked="0"/>
    </xf>
    <xf numFmtId="0" fontId="45" fillId="4" borderId="32" xfId="0" applyFont="1" applyFill="1" applyBorder="1" applyAlignment="1" applyProtection="1">
      <alignment horizontal="left" vertical="top" wrapText="1"/>
      <protection locked="0"/>
    </xf>
    <xf numFmtId="0" fontId="45" fillId="4" borderId="3" xfId="0" applyFont="1" applyFill="1" applyBorder="1" applyAlignment="1" applyProtection="1">
      <alignment horizontal="left" vertical="top" wrapText="1"/>
      <protection locked="0"/>
    </xf>
    <xf numFmtId="0" fontId="45" fillId="4" borderId="30" xfId="0" applyFont="1" applyFill="1" applyBorder="1" applyAlignment="1" applyProtection="1">
      <alignment horizontal="left" vertical="top" wrapText="1"/>
      <protection locked="0"/>
    </xf>
    <xf numFmtId="0" fontId="20" fillId="21" borderId="23"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25" borderId="14" xfId="0" applyFont="1" applyFill="1" applyBorder="1" applyAlignment="1" applyProtection="1">
      <alignment horizontal="center" vertical="center"/>
    </xf>
    <xf numFmtId="0" fontId="20" fillId="25" borderId="1" xfId="0" applyFont="1" applyFill="1" applyBorder="1" applyAlignment="1" applyProtection="1">
      <alignment horizontal="center" vertical="center"/>
    </xf>
    <xf numFmtId="0" fontId="20" fillId="25" borderId="23" xfId="0" applyFont="1" applyFill="1" applyBorder="1" applyAlignment="1" applyProtection="1">
      <alignment horizontal="center" vertical="center"/>
    </xf>
    <xf numFmtId="0" fontId="20" fillId="23" borderId="23" xfId="0" applyFont="1" applyFill="1" applyBorder="1" applyAlignment="1" applyProtection="1">
      <alignment horizontal="left" vertical="top" wrapText="1"/>
    </xf>
    <xf numFmtId="0" fontId="20" fillId="23" borderId="23" xfId="0" applyFont="1" applyFill="1" applyBorder="1" applyAlignment="1" applyProtection="1">
      <alignment horizontal="center" vertical="center" wrapText="1"/>
    </xf>
    <xf numFmtId="0" fontId="5" fillId="20" borderId="23" xfId="0" applyFont="1" applyFill="1" applyBorder="1" applyAlignment="1" applyProtection="1">
      <alignment horizontal="center" vertical="center" wrapText="1"/>
    </xf>
    <xf numFmtId="0" fontId="20" fillId="25" borderId="23" xfId="0" applyFont="1" applyFill="1" applyBorder="1" applyAlignment="1" applyProtection="1">
      <alignment horizontal="center" vertical="center" wrapText="1"/>
    </xf>
    <xf numFmtId="165" fontId="1" fillId="0" borderId="1" xfId="4" applyNumberFormat="1" applyFont="1" applyBorder="1" applyAlignment="1" applyProtection="1">
      <alignment horizontal="center" vertical="center"/>
    </xf>
    <xf numFmtId="165" fontId="1" fillId="0" borderId="23" xfId="4" applyNumberFormat="1" applyFont="1" applyBorder="1" applyAlignment="1" applyProtection="1">
      <alignment horizontal="center" vertical="center"/>
    </xf>
    <xf numFmtId="0" fontId="5" fillId="20" borderId="42" xfId="0" applyFont="1" applyFill="1" applyBorder="1" applyAlignment="1" applyProtection="1">
      <alignment horizontal="center" vertical="center" wrapText="1"/>
    </xf>
    <xf numFmtId="0" fontId="22" fillId="27" borderId="14" xfId="0" applyNumberFormat="1" applyFont="1" applyFill="1" applyBorder="1" applyAlignment="1" applyProtection="1">
      <alignment horizontal="center" vertical="center" wrapText="1"/>
    </xf>
    <xf numFmtId="0" fontId="22" fillId="27" borderId="24" xfId="0" applyNumberFormat="1" applyFont="1" applyFill="1" applyBorder="1" applyAlignment="1" applyProtection="1">
      <alignment horizontal="center" vertical="center" wrapText="1"/>
    </xf>
    <xf numFmtId="10" fontId="22" fillId="0" borderId="1" xfId="4" applyNumberFormat="1" applyFont="1" applyFill="1" applyBorder="1" applyAlignment="1" applyProtection="1">
      <alignment horizontal="center" vertical="center" wrapText="1"/>
    </xf>
    <xf numFmtId="10" fontId="22" fillId="0" borderId="32" xfId="4" applyNumberFormat="1" applyFont="1" applyFill="1" applyBorder="1" applyAlignment="1" applyProtection="1">
      <alignment horizontal="center" vertical="center" wrapText="1"/>
    </xf>
    <xf numFmtId="165" fontId="1" fillId="0" borderId="14" xfId="4" applyNumberFormat="1" applyFont="1" applyBorder="1" applyAlignment="1" applyProtection="1">
      <alignment horizontal="center" vertical="center"/>
    </xf>
    <xf numFmtId="0" fontId="0" fillId="0" borderId="24" xfId="0" applyFill="1" applyBorder="1" applyAlignment="1" applyProtection="1">
      <alignment horizontal="center" vertical="center" wrapText="1"/>
    </xf>
    <xf numFmtId="0" fontId="0" fillId="0" borderId="51" xfId="0" applyFill="1" applyBorder="1" applyAlignment="1" applyProtection="1">
      <alignment horizontal="center" vertical="center" wrapText="1"/>
    </xf>
    <xf numFmtId="0" fontId="3" fillId="0" borderId="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3"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30"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xf>
    <xf numFmtId="0" fontId="0" fillId="0" borderId="14" xfId="0" applyBorder="1" applyAlignment="1" applyProtection="1">
      <alignment horizontal="left" vertical="top" wrapText="1"/>
    </xf>
    <xf numFmtId="0" fontId="0" fillId="0" borderId="24" xfId="0" applyBorder="1" applyAlignment="1" applyProtection="1">
      <alignment horizontal="left" vertical="top" wrapText="1"/>
    </xf>
    <xf numFmtId="0" fontId="1" fillId="0" borderId="31" xfId="0" applyFont="1" applyBorder="1" applyAlignment="1" applyProtection="1">
      <alignment horizontal="left" vertical="top" wrapText="1"/>
    </xf>
    <xf numFmtId="0" fontId="1" fillId="0" borderId="61" xfId="0" applyFont="1" applyBorder="1" applyAlignment="1" applyProtection="1">
      <alignment horizontal="left" vertical="top" wrapText="1"/>
    </xf>
    <xf numFmtId="0" fontId="1" fillId="0" borderId="55"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32" xfId="0"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2" xfId="0" applyFont="1" applyFill="1" applyBorder="1" applyAlignment="1" applyProtection="1">
      <alignment horizontal="left" vertical="top"/>
    </xf>
    <xf numFmtId="0" fontId="1" fillId="4" borderId="59" xfId="0" applyFont="1" applyFill="1" applyBorder="1" applyAlignment="1" applyProtection="1">
      <alignment horizontal="left" vertical="top"/>
    </xf>
    <xf numFmtId="0" fontId="1" fillId="4" borderId="1" xfId="0" applyFont="1" applyFill="1" applyBorder="1" applyAlignment="1" applyProtection="1">
      <alignment horizontal="left" vertical="top" wrapText="1"/>
    </xf>
    <xf numFmtId="0" fontId="1" fillId="4" borderId="1" xfId="0" applyFont="1" applyFill="1" applyBorder="1" applyAlignment="1" applyProtection="1">
      <alignment horizontal="left" vertical="top"/>
    </xf>
    <xf numFmtId="0" fontId="1" fillId="4" borderId="32" xfId="0" applyFont="1" applyFill="1" applyBorder="1" applyAlignment="1" applyProtection="1">
      <alignment horizontal="left" vertical="top"/>
    </xf>
    <xf numFmtId="0" fontId="1" fillId="4" borderId="59" xfId="0" applyFont="1" applyFill="1" applyBorder="1" applyAlignment="1" applyProtection="1">
      <alignment horizontal="left" vertical="top" wrapText="1"/>
    </xf>
    <xf numFmtId="0" fontId="1" fillId="0" borderId="14"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3" fillId="23" borderId="38" xfId="0" applyFont="1" applyFill="1" applyBorder="1" applyAlignment="1" applyProtection="1">
      <alignment horizontal="center" vertical="center" wrapText="1"/>
    </xf>
    <xf numFmtId="0" fontId="3" fillId="23" borderId="36" xfId="0" applyFont="1" applyFill="1" applyBorder="1" applyAlignment="1" applyProtection="1">
      <alignment horizontal="center" vertical="center" wrapText="1"/>
    </xf>
    <xf numFmtId="0" fontId="3" fillId="23" borderId="35" xfId="0" applyFont="1" applyFill="1" applyBorder="1" applyAlignment="1" applyProtection="1">
      <alignment horizontal="center" vertical="center" wrapText="1"/>
    </xf>
    <xf numFmtId="0" fontId="20" fillId="23" borderId="42" xfId="0" applyFont="1" applyFill="1" applyBorder="1" applyAlignment="1" applyProtection="1">
      <alignment horizontal="center" vertical="center" wrapText="1"/>
    </xf>
    <xf numFmtId="0" fontId="20" fillId="23" borderId="42" xfId="0" applyFont="1" applyFill="1" applyBorder="1" applyAlignment="1" applyProtection="1">
      <alignment horizontal="left" vertical="top" wrapText="1"/>
    </xf>
    <xf numFmtId="0" fontId="3" fillId="23" borderId="42" xfId="0" applyFont="1" applyFill="1" applyBorder="1" applyAlignment="1" applyProtection="1">
      <alignment horizontal="center" vertical="center" wrapText="1"/>
    </xf>
    <xf numFmtId="0" fontId="3" fillId="23" borderId="37" xfId="0" applyFont="1" applyFill="1" applyBorder="1" applyAlignment="1" applyProtection="1">
      <alignment horizontal="center" vertical="center" wrapText="1"/>
    </xf>
    <xf numFmtId="0" fontId="3" fillId="23" borderId="39" xfId="0" applyFont="1" applyFill="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47" xfId="0" applyBorder="1" applyAlignment="1" applyProtection="1">
      <alignment horizontal="center" vertical="center" wrapText="1"/>
    </xf>
    <xf numFmtId="0" fontId="3" fillId="23" borderId="34" xfId="0" applyFont="1" applyFill="1" applyBorder="1" applyAlignment="1" applyProtection="1">
      <alignment horizontal="center" vertical="center" wrapText="1"/>
    </xf>
    <xf numFmtId="0" fontId="3" fillId="23" borderId="8" xfId="0" applyFont="1" applyFill="1" applyBorder="1" applyAlignment="1" applyProtection="1">
      <alignment horizontal="center" vertical="center" wrapText="1"/>
    </xf>
    <xf numFmtId="0" fontId="31" fillId="17" borderId="68" xfId="0" applyFont="1" applyFill="1" applyBorder="1" applyAlignment="1" applyProtection="1">
      <alignment horizontal="center" vertical="center"/>
    </xf>
    <xf numFmtId="0" fontId="1" fillId="4" borderId="1"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0" fillId="4" borderId="14" xfId="0" applyFill="1" applyBorder="1" applyAlignment="1" applyProtection="1">
      <alignment horizontal="left" vertical="top"/>
    </xf>
    <xf numFmtId="0" fontId="0" fillId="4" borderId="24" xfId="0" applyFill="1" applyBorder="1" applyAlignment="1" applyProtection="1">
      <alignment horizontal="left" vertical="top"/>
    </xf>
    <xf numFmtId="0" fontId="3"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30" xfId="0" applyBorder="1" applyAlignment="1" applyProtection="1">
      <alignment horizontal="left" vertical="top" wrapText="1"/>
    </xf>
    <xf numFmtId="2" fontId="29" fillId="17" borderId="52" xfId="0" applyNumberFormat="1" applyFont="1" applyFill="1" applyBorder="1" applyAlignment="1" applyProtection="1">
      <alignment horizontal="center" vertical="center" wrapText="1"/>
    </xf>
    <xf numFmtId="2" fontId="29" fillId="17" borderId="26" xfId="0" applyNumberFormat="1" applyFont="1" applyFill="1" applyBorder="1" applyAlignment="1" applyProtection="1">
      <alignment horizontal="center" vertical="center" wrapText="1"/>
    </xf>
    <xf numFmtId="2" fontId="29" fillId="17" borderId="53" xfId="0" applyNumberFormat="1" applyFont="1" applyFill="1" applyBorder="1" applyAlignment="1" applyProtection="1">
      <alignment horizontal="center" vertical="center" wrapText="1"/>
    </xf>
    <xf numFmtId="2" fontId="29" fillId="17" borderId="21"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26" borderId="41" xfId="0" applyFont="1" applyFill="1" applyBorder="1" applyAlignment="1" applyProtection="1">
      <alignment horizontal="center" vertical="center" wrapText="1"/>
    </xf>
    <xf numFmtId="0" fontId="10" fillId="26" borderId="68" xfId="0" applyFont="1" applyFill="1" applyBorder="1" applyAlignment="1" applyProtection="1">
      <alignment horizontal="center" vertical="center" wrapText="1"/>
    </xf>
    <xf numFmtId="0" fontId="35" fillId="26" borderId="14" xfId="0" applyFont="1" applyFill="1" applyBorder="1" applyAlignment="1" applyProtection="1">
      <alignment horizontal="center" wrapText="1"/>
    </xf>
    <xf numFmtId="0" fontId="35" fillId="26" borderId="24" xfId="0" applyFont="1" applyFill="1" applyBorder="1" applyAlignment="1" applyProtection="1">
      <alignment horizontal="center" wrapText="1"/>
    </xf>
    <xf numFmtId="0" fontId="35" fillId="26" borderId="23" xfId="0" applyFont="1" applyFill="1" applyBorder="1" applyAlignment="1" applyProtection="1">
      <alignment horizontal="center" wrapText="1"/>
    </xf>
    <xf numFmtId="0" fontId="35" fillId="26" borderId="51" xfId="0" applyFont="1" applyFill="1" applyBorder="1" applyAlignment="1" applyProtection="1">
      <alignment horizontal="center" wrapText="1"/>
    </xf>
    <xf numFmtId="0" fontId="1" fillId="0" borderId="23" xfId="0" applyFont="1" applyBorder="1" applyAlignment="1" applyProtection="1">
      <alignment horizontal="left" vertical="top" wrapText="1"/>
    </xf>
    <xf numFmtId="0" fontId="1" fillId="0" borderId="51" xfId="0" applyFont="1" applyBorder="1" applyAlignment="1" applyProtection="1">
      <alignment horizontal="left" vertical="top" wrapText="1"/>
    </xf>
    <xf numFmtId="0" fontId="5" fillId="0" borderId="33" xfId="0" applyFont="1" applyBorder="1" applyAlignment="1" applyProtection="1">
      <alignment horizontal="left" vertical="center"/>
    </xf>
    <xf numFmtId="0" fontId="5" fillId="0" borderId="56" xfId="0" applyFont="1" applyBorder="1" applyAlignment="1" applyProtection="1">
      <alignment horizontal="left" vertical="center"/>
    </xf>
    <xf numFmtId="0" fontId="5" fillId="0" borderId="31" xfId="0" applyFont="1" applyBorder="1" applyAlignment="1" applyProtection="1">
      <alignment horizontal="left" vertical="center"/>
    </xf>
    <xf numFmtId="0" fontId="5" fillId="0" borderId="55" xfId="0" applyFont="1" applyBorder="1" applyAlignment="1" applyProtection="1">
      <alignment horizontal="left" vertical="center"/>
    </xf>
    <xf numFmtId="0" fontId="3" fillId="0" borderId="14"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3" xfId="0" applyBorder="1" applyAlignment="1" applyProtection="1">
      <alignment horizontal="left" vertical="top" wrapText="1"/>
    </xf>
    <xf numFmtId="0" fontId="0" fillId="0" borderId="51" xfId="0" applyBorder="1" applyAlignment="1" applyProtection="1">
      <alignment horizontal="left" vertical="top" wrapText="1"/>
    </xf>
    <xf numFmtId="0" fontId="8" fillId="0" borderId="0" xfId="0" applyFont="1" applyAlignment="1" applyProtection="1">
      <alignment horizontal="center" vertical="center"/>
    </xf>
    <xf numFmtId="0" fontId="29" fillId="26" borderId="7" xfId="0" applyFont="1" applyFill="1" applyBorder="1" applyAlignment="1" applyProtection="1">
      <alignment horizontal="right" vertical="center" wrapText="1"/>
    </xf>
    <xf numFmtId="0" fontId="29" fillId="26" borderId="5" xfId="0" applyFont="1" applyFill="1" applyBorder="1" applyAlignment="1" applyProtection="1">
      <alignment horizontal="right" vertical="center" wrapText="1"/>
    </xf>
    <xf numFmtId="0" fontId="29" fillId="26" borderId="10" xfId="0" applyFont="1" applyFill="1" applyBorder="1" applyAlignment="1" applyProtection="1">
      <alignment horizontal="left" vertical="center"/>
    </xf>
    <xf numFmtId="0" fontId="29" fillId="26" borderId="0" xfId="0" applyFont="1" applyFill="1" applyBorder="1" applyAlignment="1" applyProtection="1">
      <alignment horizontal="left" vertical="center"/>
    </xf>
    <xf numFmtId="0" fontId="29" fillId="26" borderId="50" xfId="0" applyFont="1" applyFill="1" applyBorder="1" applyAlignment="1" applyProtection="1">
      <alignment horizontal="right" vertical="center" wrapText="1"/>
    </xf>
    <xf numFmtId="0" fontId="29" fillId="26" borderId="66" xfId="0" applyFont="1" applyFill="1" applyBorder="1" applyAlignment="1" applyProtection="1">
      <alignment horizontal="right" vertical="center" wrapText="1"/>
    </xf>
    <xf numFmtId="0" fontId="37" fillId="26" borderId="7" xfId="0" applyFont="1" applyFill="1" applyBorder="1" applyAlignment="1" applyProtection="1">
      <alignment horizontal="center" vertical="center"/>
    </xf>
    <xf numFmtId="0" fontId="37" fillId="26" borderId="5" xfId="0" applyFont="1" applyFill="1" applyBorder="1" applyAlignment="1" applyProtection="1">
      <alignment horizontal="center" vertical="center"/>
    </xf>
    <xf numFmtId="0" fontId="37" fillId="26" borderId="27" xfId="0" applyFont="1" applyFill="1" applyBorder="1" applyAlignment="1" applyProtection="1">
      <alignment horizontal="center" vertical="center"/>
    </xf>
    <xf numFmtId="0" fontId="37" fillId="26" borderId="10" xfId="0" applyFont="1" applyFill="1" applyBorder="1" applyAlignment="1" applyProtection="1">
      <alignment horizontal="center" vertical="center"/>
    </xf>
    <xf numFmtId="0" fontId="37" fillId="26" borderId="0" xfId="0" applyFont="1" applyFill="1" applyBorder="1" applyAlignment="1" applyProtection="1">
      <alignment horizontal="center" vertical="center"/>
    </xf>
    <xf numFmtId="0" fontId="37" fillId="26" borderId="13" xfId="0" applyFont="1" applyFill="1" applyBorder="1" applyAlignment="1" applyProtection="1">
      <alignment horizontal="center" vertical="center"/>
    </xf>
    <xf numFmtId="0" fontId="3" fillId="0" borderId="36" xfId="0" applyFont="1" applyBorder="1" applyAlignment="1" applyProtection="1">
      <alignment horizontal="center" vertical="center"/>
    </xf>
    <xf numFmtId="0" fontId="3" fillId="0" borderId="32" xfId="0" applyFont="1" applyBorder="1" applyAlignment="1" applyProtection="1">
      <alignment horizontal="center" vertical="center"/>
    </xf>
    <xf numFmtId="0" fontId="36" fillId="26" borderId="19" xfId="0" applyFont="1" applyFill="1" applyBorder="1" applyAlignment="1" applyProtection="1">
      <alignment horizontal="center" vertical="center"/>
    </xf>
    <xf numFmtId="0" fontId="36" fillId="26" borderId="1" xfId="0" applyFont="1" applyFill="1" applyBorder="1" applyAlignment="1" applyProtection="1">
      <alignment horizontal="center" vertical="center"/>
    </xf>
    <xf numFmtId="0" fontId="29" fillId="26" borderId="19" xfId="0" applyFont="1" applyFill="1" applyBorder="1" applyAlignment="1" applyProtection="1">
      <alignment horizontal="center" vertical="center"/>
    </xf>
    <xf numFmtId="0" fontId="29" fillId="26" borderId="1" xfId="0" applyFont="1" applyFill="1" applyBorder="1" applyAlignment="1" applyProtection="1">
      <alignment horizontal="center" vertical="center"/>
    </xf>
    <xf numFmtId="0" fontId="29" fillId="26" borderId="70" xfId="0" applyFont="1" applyFill="1" applyBorder="1" applyAlignment="1" applyProtection="1">
      <alignment horizontal="center" vertical="center"/>
    </xf>
    <xf numFmtId="0" fontId="29" fillId="26" borderId="2" xfId="0" applyFont="1" applyFill="1" applyBorder="1" applyAlignment="1" applyProtection="1">
      <alignment horizontal="center" vertical="center"/>
    </xf>
    <xf numFmtId="0" fontId="29" fillId="26" borderId="2" xfId="0" applyFont="1" applyFill="1" applyBorder="1" applyAlignment="1" applyProtection="1">
      <alignment horizontal="left" vertical="center"/>
    </xf>
    <xf numFmtId="0" fontId="36" fillId="26" borderId="1" xfId="0" applyFont="1" applyFill="1" applyBorder="1" applyAlignment="1" applyProtection="1">
      <alignment horizontal="left" vertical="center"/>
    </xf>
    <xf numFmtId="0" fontId="8" fillId="0" borderId="1" xfId="0" applyNumberFormat="1" applyFont="1" applyFill="1" applyBorder="1" applyAlignment="1" applyProtection="1">
      <alignment horizontal="center" vertical="center"/>
    </xf>
    <xf numFmtId="0" fontId="36" fillId="26" borderId="3" xfId="0" applyFont="1" applyFill="1" applyBorder="1" applyAlignment="1" applyProtection="1">
      <alignment horizontal="left" vertical="center"/>
    </xf>
    <xf numFmtId="0" fontId="1" fillId="0" borderId="2" xfId="0" applyFont="1" applyBorder="1" applyAlignment="1" applyProtection="1">
      <alignment horizontal="left" vertical="top" wrapText="1"/>
    </xf>
    <xf numFmtId="0" fontId="1" fillId="0" borderId="59" xfId="0" applyFont="1" applyBorder="1" applyAlignment="1" applyProtection="1">
      <alignment horizontal="left" vertical="top" wrapText="1"/>
    </xf>
    <xf numFmtId="10" fontId="8" fillId="2" borderId="5" xfId="0" applyNumberFormat="1" applyFont="1" applyFill="1" applyBorder="1" applyAlignment="1" applyProtection="1">
      <alignment horizontal="center" vertical="center"/>
    </xf>
    <xf numFmtId="10" fontId="8" fillId="2" borderId="27" xfId="0" applyNumberFormat="1" applyFont="1" applyFill="1" applyBorder="1" applyAlignment="1" applyProtection="1">
      <alignment horizontal="center" vertical="center"/>
    </xf>
    <xf numFmtId="10" fontId="30" fillId="17" borderId="44" xfId="0" applyNumberFormat="1" applyFont="1" applyFill="1" applyBorder="1" applyAlignment="1" applyProtection="1">
      <alignment horizontal="center" vertical="center" wrapText="1"/>
    </xf>
    <xf numFmtId="10" fontId="30" fillId="17" borderId="48" xfId="0" applyNumberFormat="1" applyFont="1" applyFill="1" applyBorder="1" applyAlignment="1" applyProtection="1">
      <alignment horizontal="center" vertical="center" wrapText="1"/>
    </xf>
    <xf numFmtId="0" fontId="30" fillId="17" borderId="67" xfId="0" applyFont="1" applyFill="1" applyBorder="1" applyAlignment="1" applyProtection="1">
      <alignment horizontal="center" vertical="center" wrapText="1"/>
    </xf>
    <xf numFmtId="0" fontId="30" fillId="17" borderId="68" xfId="0" applyFont="1" applyFill="1" applyBorder="1" applyAlignment="1" applyProtection="1">
      <alignment horizontal="center" vertical="center" wrapText="1"/>
    </xf>
    <xf numFmtId="0" fontId="30" fillId="17" borderId="57" xfId="0" applyFont="1" applyFill="1" applyBorder="1" applyAlignment="1" applyProtection="1">
      <alignment horizontal="center" vertical="center" wrapText="1"/>
    </xf>
    <xf numFmtId="167" fontId="3" fillId="0" borderId="6" xfId="0" applyNumberFormat="1" applyFont="1" applyFill="1" applyBorder="1" applyAlignment="1" applyProtection="1">
      <alignment horizontal="center" vertical="center"/>
    </xf>
    <xf numFmtId="167" fontId="3" fillId="0" borderId="28" xfId="0" applyNumberFormat="1" applyFont="1" applyFill="1" applyBorder="1" applyAlignment="1" applyProtection="1">
      <alignment horizontal="center" vertical="center"/>
    </xf>
    <xf numFmtId="0" fontId="36" fillId="26" borderId="49" xfId="0" applyFont="1" applyFill="1" applyBorder="1" applyAlignment="1" applyProtection="1">
      <alignment horizontal="center" vertical="center"/>
    </xf>
    <xf numFmtId="0" fontId="36" fillId="26" borderId="3" xfId="0" applyFont="1" applyFill="1" applyBorder="1" applyAlignment="1" applyProtection="1">
      <alignment horizontal="center" vertical="center"/>
    </xf>
    <xf numFmtId="0" fontId="29" fillId="26" borderId="6" xfId="0" applyFont="1" applyFill="1" applyBorder="1" applyAlignment="1" applyProtection="1">
      <alignment horizontal="left" vertical="center"/>
    </xf>
    <xf numFmtId="0" fontId="29" fillId="26" borderId="4" xfId="0" applyFont="1" applyFill="1" applyBorder="1" applyAlignment="1" applyProtection="1">
      <alignment horizontal="left" vertical="center"/>
    </xf>
    <xf numFmtId="0" fontId="10" fillId="26" borderId="14" xfId="0" applyFont="1" applyFill="1" applyBorder="1" applyAlignment="1" applyProtection="1">
      <alignment horizontal="center" vertical="center" wrapText="1"/>
    </xf>
    <xf numFmtId="0" fontId="10" fillId="26" borderId="23" xfId="0" applyFont="1" applyFill="1" applyBorder="1" applyAlignment="1" applyProtection="1">
      <alignment horizontal="center" vertical="center" wrapText="1"/>
    </xf>
    <xf numFmtId="10" fontId="8" fillId="2" borderId="66" xfId="0" applyNumberFormat="1" applyFont="1" applyFill="1" applyBorder="1" applyAlignment="1" applyProtection="1">
      <alignment horizontal="center" vertical="center"/>
    </xf>
    <xf numFmtId="0" fontId="10" fillId="26" borderId="18" xfId="0" applyFont="1" applyFill="1" applyBorder="1" applyAlignment="1" applyProtection="1">
      <alignment horizontal="center" vertical="center" wrapText="1"/>
    </xf>
    <xf numFmtId="0" fontId="7" fillId="0" borderId="50" xfId="0" applyFont="1" applyBorder="1" applyAlignment="1" applyProtection="1">
      <alignment horizontal="left" vertical="center" wrapText="1"/>
    </xf>
    <xf numFmtId="0" fontId="7" fillId="0" borderId="66" xfId="0" applyFont="1" applyBorder="1" applyAlignment="1" applyProtection="1">
      <alignment horizontal="left" vertical="center" wrapText="1"/>
    </xf>
    <xf numFmtId="0" fontId="7" fillId="0" borderId="58" xfId="0" applyFont="1" applyBorder="1" applyAlignment="1" applyProtection="1">
      <alignment horizontal="left" vertical="center" wrapText="1"/>
    </xf>
    <xf numFmtId="0" fontId="3" fillId="0" borderId="41" xfId="0" applyFont="1" applyBorder="1" applyAlignment="1" applyProtection="1">
      <alignment horizontal="left" vertical="center"/>
    </xf>
    <xf numFmtId="0" fontId="3" fillId="0" borderId="57" xfId="0" applyFont="1" applyBorder="1" applyAlignment="1" applyProtection="1">
      <alignment horizontal="left" vertical="center"/>
    </xf>
    <xf numFmtId="0" fontId="10" fillId="26" borderId="67" xfId="0" applyFont="1" applyFill="1" applyBorder="1" applyAlignment="1" applyProtection="1">
      <alignment horizontal="center" vertical="center"/>
    </xf>
    <xf numFmtId="0" fontId="10" fillId="26" borderId="18" xfId="0" applyFont="1" applyFill="1" applyBorder="1" applyAlignment="1" applyProtection="1">
      <alignment horizontal="center" vertical="center"/>
    </xf>
    <xf numFmtId="0" fontId="3" fillId="0" borderId="32"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2"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20" fillId="0" borderId="3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0" borderId="3" xfId="0" applyFont="1" applyBorder="1" applyAlignment="1" applyProtection="1">
      <alignment horizontal="center" vertical="center"/>
    </xf>
    <xf numFmtId="0" fontId="39" fillId="29" borderId="62" xfId="0" applyFont="1" applyFill="1" applyBorder="1" applyAlignment="1" applyProtection="1">
      <alignment horizontal="left" vertical="center" wrapText="1"/>
    </xf>
    <xf numFmtId="0" fontId="39" fillId="29" borderId="63" xfId="0" applyFont="1" applyFill="1" applyBorder="1" applyAlignment="1" applyProtection="1">
      <alignment horizontal="left" vertical="center" wrapText="1"/>
    </xf>
    <xf numFmtId="0" fontId="39" fillId="29" borderId="49" xfId="0" applyFont="1" applyFill="1" applyBorder="1" applyAlignment="1" applyProtection="1">
      <alignment horizontal="left" vertical="center" wrapText="1"/>
    </xf>
    <xf numFmtId="0" fontId="3" fillId="29" borderId="50" xfId="0" applyFont="1" applyFill="1" applyBorder="1" applyAlignment="1" applyProtection="1">
      <alignment horizontal="center" vertical="center" wrapText="1"/>
    </xf>
    <xf numFmtId="0" fontId="3" fillId="29" borderId="66" xfId="0" applyFont="1" applyFill="1" applyBorder="1" applyAlignment="1" applyProtection="1">
      <alignment horizontal="center" vertical="center" wrapText="1"/>
    </xf>
    <xf numFmtId="0" fontId="3" fillId="29" borderId="58" xfId="0" applyFont="1" applyFill="1" applyBorder="1" applyAlignment="1" applyProtection="1">
      <alignment horizontal="center" vertical="center" wrapText="1"/>
    </xf>
    <xf numFmtId="0" fontId="22" fillId="29" borderId="71" xfId="0" applyFont="1" applyFill="1" applyBorder="1" applyAlignment="1" applyProtection="1">
      <alignment horizontal="center" vertical="center" wrapText="1"/>
    </xf>
    <xf numFmtId="0" fontId="22" fillId="29" borderId="72" xfId="0" applyFont="1" applyFill="1" applyBorder="1" applyAlignment="1" applyProtection="1">
      <alignment horizontal="center" vertical="center" wrapText="1"/>
    </xf>
    <xf numFmtId="0" fontId="22" fillId="29" borderId="73" xfId="0" applyFont="1" applyFill="1" applyBorder="1" applyAlignment="1" applyProtection="1">
      <alignment horizontal="center" vertical="center" wrapText="1"/>
    </xf>
    <xf numFmtId="10" fontId="8" fillId="0" borderId="27" xfId="4" applyNumberFormat="1" applyFont="1" applyBorder="1" applyAlignment="1" applyProtection="1">
      <alignment horizontal="center" vertical="center"/>
    </xf>
    <xf numFmtId="10" fontId="8" fillId="0" borderId="13" xfId="4" applyNumberFormat="1" applyFont="1" applyBorder="1" applyAlignment="1" applyProtection="1">
      <alignment horizontal="center" vertical="center"/>
    </xf>
    <xf numFmtId="10" fontId="8" fillId="0" borderId="28" xfId="4" applyNumberFormat="1" applyFont="1" applyBorder="1" applyAlignment="1" applyProtection="1">
      <alignment horizontal="center" vertical="center"/>
    </xf>
    <xf numFmtId="0" fontId="3" fillId="29" borderId="6" xfId="0" applyFont="1" applyFill="1" applyBorder="1" applyAlignment="1" applyProtection="1">
      <alignment horizontal="center" vertical="center"/>
    </xf>
    <xf numFmtId="0" fontId="3" fillId="29" borderId="4" xfId="0" applyFont="1" applyFill="1" applyBorder="1" applyAlignment="1" applyProtection="1">
      <alignment horizontal="center" vertical="center"/>
    </xf>
    <xf numFmtId="0" fontId="39" fillId="17" borderId="7" xfId="0" applyFont="1" applyFill="1" applyBorder="1" applyAlignment="1" applyProtection="1">
      <alignment horizontal="center" vertical="center"/>
    </xf>
    <xf numFmtId="0" fontId="39" fillId="17" borderId="5" xfId="0" applyFont="1" applyFill="1" applyBorder="1" applyAlignment="1" applyProtection="1">
      <alignment horizontal="center" vertical="center"/>
    </xf>
    <xf numFmtId="0" fontId="20" fillId="27" borderId="38" xfId="0" applyFont="1" applyFill="1" applyBorder="1" applyAlignment="1" applyProtection="1">
      <alignment horizontal="left" vertical="center"/>
    </xf>
    <xf numFmtId="0" fontId="20" fillId="27" borderId="2" xfId="0" applyFont="1" applyFill="1" applyBorder="1" applyAlignment="1" applyProtection="1">
      <alignment horizontal="left" vertical="center"/>
    </xf>
    <xf numFmtId="0" fontId="20" fillId="27" borderId="36" xfId="0" applyFont="1" applyFill="1" applyBorder="1" applyAlignment="1" applyProtection="1">
      <alignment horizontal="left" vertical="center"/>
    </xf>
    <xf numFmtId="0" fontId="20" fillId="27" borderId="1" xfId="0" applyFont="1" applyFill="1" applyBorder="1" applyAlignment="1" applyProtection="1">
      <alignment horizontal="left" vertical="center"/>
    </xf>
    <xf numFmtId="0" fontId="20" fillId="0" borderId="34" xfId="0" applyFont="1" applyBorder="1" applyAlignment="1" applyProtection="1">
      <alignment horizontal="center" vertical="center"/>
    </xf>
    <xf numFmtId="0" fontId="20" fillId="0" borderId="14" xfId="0" applyFont="1" applyBorder="1" applyAlignment="1" applyProtection="1">
      <alignment horizontal="center" vertical="center"/>
    </xf>
    <xf numFmtId="0" fontId="41" fillId="17" borderId="50" xfId="0" applyFont="1" applyFill="1" applyBorder="1" applyAlignment="1" applyProtection="1">
      <alignment horizontal="center" vertical="center" wrapText="1"/>
    </xf>
    <xf numFmtId="0" fontId="41" fillId="17" borderId="66" xfId="0" applyFont="1" applyFill="1" applyBorder="1" applyAlignment="1" applyProtection="1">
      <alignment horizontal="center" vertical="center" wrapText="1"/>
    </xf>
    <xf numFmtId="0" fontId="41" fillId="17" borderId="58" xfId="0" applyFont="1" applyFill="1" applyBorder="1" applyAlignment="1" applyProtection="1">
      <alignment horizontal="center" vertical="center" wrapText="1"/>
    </xf>
    <xf numFmtId="0" fontId="3" fillId="17" borderId="67" xfId="0" applyFont="1" applyFill="1" applyBorder="1" applyAlignment="1" applyProtection="1">
      <alignment horizontal="center" vertical="center"/>
    </xf>
    <xf numFmtId="0" fontId="3" fillId="17" borderId="68" xfId="0" applyFont="1" applyFill="1" applyBorder="1" applyAlignment="1" applyProtection="1">
      <alignment horizontal="center" vertical="center"/>
    </xf>
    <xf numFmtId="0" fontId="3" fillId="17" borderId="18" xfId="0" applyFont="1" applyFill="1" applyBorder="1" applyAlignment="1" applyProtection="1">
      <alignment horizontal="center" vertical="center"/>
    </xf>
    <xf numFmtId="0" fontId="3" fillId="17" borderId="60" xfId="0" applyFont="1" applyFill="1" applyBorder="1" applyAlignment="1" applyProtection="1">
      <alignment horizontal="center"/>
    </xf>
    <xf numFmtId="0" fontId="3" fillId="17" borderId="61" xfId="0" applyFont="1" applyFill="1" applyBorder="1" applyAlignment="1" applyProtection="1">
      <alignment horizontal="center"/>
    </xf>
    <xf numFmtId="0" fontId="3" fillId="17" borderId="19" xfId="0" applyFont="1" applyFill="1" applyBorder="1" applyAlignment="1" applyProtection="1">
      <alignment horizontal="center"/>
    </xf>
    <xf numFmtId="164" fontId="3" fillId="17" borderId="60" xfId="0" applyNumberFormat="1" applyFont="1" applyFill="1" applyBorder="1" applyAlignment="1" applyProtection="1">
      <alignment horizontal="center"/>
    </xf>
    <xf numFmtId="164" fontId="3" fillId="17" borderId="61" xfId="0" applyNumberFormat="1" applyFont="1" applyFill="1" applyBorder="1" applyAlignment="1" applyProtection="1">
      <alignment horizontal="center"/>
    </xf>
    <xf numFmtId="164" fontId="3" fillId="17" borderId="19" xfId="0" applyNumberFormat="1" applyFont="1" applyFill="1" applyBorder="1" applyAlignment="1" applyProtection="1">
      <alignment horizontal="center"/>
    </xf>
    <xf numFmtId="164" fontId="3" fillId="17" borderId="62" xfId="0" applyNumberFormat="1" applyFont="1" applyFill="1" applyBorder="1" applyAlignment="1" applyProtection="1">
      <alignment horizontal="center"/>
    </xf>
    <xf numFmtId="164" fontId="3" fillId="17" borderId="63" xfId="0" applyNumberFormat="1" applyFont="1" applyFill="1" applyBorder="1" applyAlignment="1" applyProtection="1">
      <alignment horizontal="center"/>
    </xf>
    <xf numFmtId="164" fontId="3" fillId="17" borderId="49" xfId="0" applyNumberFormat="1" applyFont="1" applyFill="1" applyBorder="1" applyAlignment="1" applyProtection="1">
      <alignment horizontal="center"/>
    </xf>
    <xf numFmtId="0" fontId="20" fillId="25" borderId="3" xfId="0" applyFont="1" applyFill="1" applyBorder="1" applyAlignment="1" applyProtection="1">
      <alignment horizontal="center" vertical="center"/>
    </xf>
    <xf numFmtId="0" fontId="20" fillId="0" borderId="16" xfId="0" applyFont="1" applyFill="1" applyBorder="1" applyAlignment="1" applyProtection="1">
      <alignment horizontal="center" vertical="center" wrapText="1"/>
    </xf>
    <xf numFmtId="0" fontId="20" fillId="0" borderId="20"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1" fillId="0" borderId="2"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4" borderId="3" xfId="0" applyFont="1" applyFill="1" applyBorder="1" applyAlignment="1" applyProtection="1">
      <alignment horizontal="left" vertical="top" wrapText="1"/>
    </xf>
    <xf numFmtId="0" fontId="0" fillId="4" borderId="3" xfId="0" applyFill="1" applyBorder="1" applyAlignment="1" applyProtection="1">
      <alignment horizontal="left" vertical="top" wrapText="1"/>
    </xf>
    <xf numFmtId="0" fontId="0" fillId="4" borderId="30" xfId="0" applyFill="1" applyBorder="1" applyAlignment="1" applyProtection="1">
      <alignment horizontal="left" vertical="top" wrapText="1"/>
    </xf>
    <xf numFmtId="0" fontId="0" fillId="4" borderId="1" xfId="0" applyFill="1" applyBorder="1" applyAlignment="1" applyProtection="1">
      <alignment horizontal="left" vertical="top" wrapText="1"/>
    </xf>
    <xf numFmtId="0" fontId="0" fillId="4" borderId="32" xfId="0" applyFill="1" applyBorder="1" applyAlignment="1" applyProtection="1">
      <alignment horizontal="left" vertical="top" wrapText="1"/>
    </xf>
    <xf numFmtId="0" fontId="47" fillId="4" borderId="1" xfId="0" applyFont="1" applyFill="1" applyBorder="1" applyAlignment="1" applyProtection="1">
      <alignment horizontal="left" vertical="top" wrapText="1"/>
      <protection locked="0"/>
    </xf>
    <xf numFmtId="0" fontId="47" fillId="4" borderId="32" xfId="0" applyFont="1" applyFill="1" applyBorder="1" applyAlignment="1" applyProtection="1">
      <alignment horizontal="left" vertical="top" wrapText="1"/>
      <protection locked="0"/>
    </xf>
    <xf numFmtId="0" fontId="0" fillId="4" borderId="3" xfId="0" applyFill="1" applyBorder="1" applyAlignment="1" applyProtection="1">
      <alignment horizontal="left" vertical="top"/>
    </xf>
    <xf numFmtId="0" fontId="0" fillId="4" borderId="30" xfId="0" applyFill="1" applyBorder="1" applyAlignment="1" applyProtection="1">
      <alignment horizontal="left" vertical="top"/>
    </xf>
    <xf numFmtId="0" fontId="3" fillId="23" borderId="47" xfId="0" applyFont="1" applyFill="1" applyBorder="1" applyAlignment="1" applyProtection="1">
      <alignment horizontal="center" vertical="center" wrapText="1"/>
    </xf>
    <xf numFmtId="0" fontId="1" fillId="4" borderId="14" xfId="0" applyFont="1" applyFill="1" applyBorder="1" applyAlignment="1" applyProtection="1">
      <alignment horizontal="left" vertical="top" wrapText="1"/>
    </xf>
    <xf numFmtId="0" fontId="1" fillId="4" borderId="24" xfId="0" applyFont="1" applyFill="1" applyBorder="1" applyAlignment="1" applyProtection="1">
      <alignment horizontal="left" vertical="top" wrapText="1"/>
    </xf>
    <xf numFmtId="0" fontId="1" fillId="4" borderId="32" xfId="0" applyFont="1" applyFill="1" applyBorder="1" applyAlignment="1" applyProtection="1">
      <alignment horizontal="left" vertical="top" wrapText="1"/>
    </xf>
    <xf numFmtId="0" fontId="0" fillId="0" borderId="44" xfId="0" applyFill="1" applyBorder="1" applyAlignment="1" applyProtection="1">
      <alignment horizontal="center" vertical="center" wrapText="1"/>
    </xf>
    <xf numFmtId="0" fontId="0" fillId="0" borderId="48" xfId="0" applyFill="1" applyBorder="1" applyAlignment="1" applyProtection="1">
      <alignment horizontal="center" vertical="center" wrapText="1"/>
    </xf>
    <xf numFmtId="0" fontId="0" fillId="0" borderId="46" xfId="0" applyFill="1" applyBorder="1" applyAlignment="1" applyProtection="1">
      <alignment horizontal="center" vertical="center" wrapText="1"/>
    </xf>
    <xf numFmtId="165" fontId="1" fillId="0" borderId="3" xfId="4" applyNumberFormat="1" applyFont="1" applyBorder="1" applyAlignment="1" applyProtection="1">
      <alignment horizontal="center" vertical="center"/>
    </xf>
    <xf numFmtId="0" fontId="20" fillId="25" borderId="16" xfId="0" applyFont="1" applyFill="1" applyBorder="1" applyAlignment="1" applyProtection="1">
      <alignment horizontal="center" vertical="center" wrapText="1"/>
    </xf>
    <xf numFmtId="0" fontId="20" fillId="25" borderId="20" xfId="0" applyFont="1" applyFill="1" applyBorder="1" applyAlignment="1" applyProtection="1">
      <alignment horizontal="center" vertical="center" wrapText="1"/>
    </xf>
    <xf numFmtId="0" fontId="20" fillId="25" borderId="42" xfId="0" applyFont="1" applyFill="1" applyBorder="1" applyAlignment="1" applyProtection="1">
      <alignment horizontal="center" vertical="center" wrapText="1"/>
    </xf>
    <xf numFmtId="165" fontId="0" fillId="0" borderId="16" xfId="4" applyNumberFormat="1" applyFont="1" applyBorder="1" applyAlignment="1" applyProtection="1">
      <alignment horizontal="center" vertical="center"/>
    </xf>
    <xf numFmtId="165" fontId="0" fillId="0" borderId="42" xfId="4" applyNumberFormat="1" applyFont="1" applyBorder="1" applyAlignment="1" applyProtection="1">
      <alignment horizontal="center" vertical="center"/>
    </xf>
    <xf numFmtId="165" fontId="1" fillId="21" borderId="16" xfId="4" applyNumberFormat="1" applyFont="1" applyFill="1" applyBorder="1" applyAlignment="1" applyProtection="1">
      <alignment horizontal="center" vertical="center"/>
    </xf>
    <xf numFmtId="165" fontId="1" fillId="21" borderId="42" xfId="4" applyNumberFormat="1" applyFont="1" applyFill="1" applyBorder="1" applyAlignment="1" applyProtection="1">
      <alignment horizontal="center" vertical="center"/>
    </xf>
    <xf numFmtId="10" fontId="20" fillId="0" borderId="16" xfId="4" applyNumberFormat="1" applyFont="1" applyFill="1" applyBorder="1" applyAlignment="1" applyProtection="1">
      <alignment horizontal="center" vertical="center" wrapText="1"/>
    </xf>
    <xf numFmtId="10" fontId="20" fillId="0" borderId="42" xfId="4" applyNumberFormat="1"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0" fillId="21" borderId="16" xfId="0" applyFont="1" applyFill="1" applyBorder="1" applyAlignment="1" applyProtection="1">
      <alignment horizontal="center" vertical="center" wrapText="1"/>
    </xf>
    <xf numFmtId="0" fontId="20" fillId="21" borderId="42" xfId="0" applyFont="1" applyFill="1" applyBorder="1" applyAlignment="1" applyProtection="1">
      <alignment horizontal="center" vertical="center" wrapText="1"/>
    </xf>
    <xf numFmtId="0" fontId="20" fillId="25" borderId="16" xfId="0" applyFont="1" applyFill="1" applyBorder="1" applyAlignment="1" applyProtection="1">
      <alignment horizontal="center" vertical="center"/>
    </xf>
    <xf numFmtId="0" fontId="20" fillId="25" borderId="42" xfId="0" applyFont="1" applyFill="1" applyBorder="1" applyAlignment="1" applyProtection="1">
      <alignment horizontal="center" vertical="center"/>
    </xf>
    <xf numFmtId="0" fontId="20" fillId="24" borderId="16" xfId="0" applyFont="1" applyFill="1" applyBorder="1" applyAlignment="1" applyProtection="1">
      <alignment horizontal="center" vertical="center" wrapText="1"/>
    </xf>
    <xf numFmtId="0" fontId="20" fillId="24" borderId="42" xfId="0" applyFont="1" applyFill="1" applyBorder="1" applyAlignment="1" applyProtection="1">
      <alignment horizontal="center" vertical="center" wrapText="1"/>
    </xf>
    <xf numFmtId="0" fontId="20" fillId="25" borderId="20" xfId="0" applyFont="1" applyFill="1" applyBorder="1" applyAlignment="1" applyProtection="1">
      <alignment horizontal="center" vertical="center"/>
    </xf>
    <xf numFmtId="0" fontId="22" fillId="29" borderId="50" xfId="0" applyFont="1" applyFill="1" applyBorder="1" applyAlignment="1" applyProtection="1">
      <alignment horizontal="center" vertical="top"/>
    </xf>
    <xf numFmtId="0" fontId="22" fillId="29" borderId="66" xfId="0" applyFont="1" applyFill="1" applyBorder="1" applyAlignment="1" applyProtection="1">
      <alignment horizontal="center" vertical="top"/>
    </xf>
    <xf numFmtId="0" fontId="22" fillId="29" borderId="58" xfId="0" applyFont="1" applyFill="1" applyBorder="1" applyAlignment="1" applyProtection="1">
      <alignment horizontal="center" vertical="top"/>
    </xf>
    <xf numFmtId="166" fontId="3" fillId="0" borderId="34" xfId="0" applyNumberFormat="1" applyFont="1" applyFill="1" applyBorder="1" applyAlignment="1" applyProtection="1">
      <alignment horizontal="center" vertical="center"/>
    </xf>
    <xf numFmtId="166" fontId="3" fillId="0" borderId="24" xfId="0" applyNumberFormat="1" applyFont="1" applyFill="1" applyBorder="1" applyAlignment="1" applyProtection="1">
      <alignment horizontal="center" vertical="center"/>
    </xf>
    <xf numFmtId="0" fontId="3" fillId="0" borderId="36" xfId="0" quotePrefix="1"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23" xfId="0" applyFont="1" applyBorder="1" applyAlignment="1" applyProtection="1">
      <alignment horizontal="left" vertical="top" wrapText="1"/>
      <protection locked="0"/>
    </xf>
    <xf numFmtId="0" fontId="1" fillId="0" borderId="51" xfId="0" applyFont="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cellXfs>
  <cellStyles count="8">
    <cellStyle name="Hipervínculo" xfId="7" builtinId="8"/>
    <cellStyle name="Normal" xfId="0" builtinId="0"/>
    <cellStyle name="Normal 2" xfId="1" xr:uid="{00000000-0005-0000-0000-000002000000}"/>
    <cellStyle name="Normal 2 2" xfId="2" xr:uid="{00000000-0005-0000-0000-000003000000}"/>
    <cellStyle name="Normal 3" xfId="3" xr:uid="{00000000-0005-0000-0000-000004000000}"/>
    <cellStyle name="Porcentaje" xfId="4" builtinId="5"/>
    <cellStyle name="Porcentaje 2" xfId="5" xr:uid="{00000000-0005-0000-0000-000006000000}"/>
    <cellStyle name="Porcentaje 3" xfId="6" xr:uid="{00000000-0005-0000-0000-000007000000}"/>
  </cellStyles>
  <dxfs count="175">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FFC000"/>
        </patternFill>
      </fill>
    </dxf>
    <dxf>
      <fill>
        <patternFill>
          <bgColor rgb="FFC00000"/>
        </patternFill>
      </fill>
    </dxf>
    <dxf>
      <fill>
        <patternFill>
          <bgColor rgb="FF92D050"/>
        </patternFill>
      </fill>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FFFFFF"/>
                </a:solidFill>
                <a:latin typeface="Calibri"/>
                <a:ea typeface="Calibri"/>
                <a:cs typeface="Calibri"/>
              </a:defRPr>
            </a:pPr>
            <a:r>
              <a:rPr lang="es-CO"/>
              <a:t>ESTADO DE LAS ACCIONES</a:t>
            </a:r>
          </a:p>
        </c:rich>
      </c:tx>
      <c:overlay val="0"/>
      <c:spPr>
        <a:solidFill>
          <a:schemeClr val="accent1">
            <a:lumMod val="75000"/>
          </a:schemeClr>
        </a:solidFill>
        <a:ln>
          <a:noFill/>
        </a:ln>
        <a:effectLst/>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7097216100634927E-2"/>
          <c:y val="0.17631538724063617"/>
          <c:w val="0.8171290921574943"/>
          <c:h val="0.54528032954214056"/>
        </c:manualLayout>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0-559E-486D-8458-F42511A420FA}"/>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59E-486D-8458-F42511A420FA}"/>
              </c:ext>
            </c:extLst>
          </c:dPt>
          <c:dLbls>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0"/>
            <c:showCatName val="0"/>
            <c:showSerName val="0"/>
            <c:showPercent val="1"/>
            <c:showBubbleSize val="0"/>
            <c:showLeaderLines val="1"/>
            <c:extLst>
              <c:ext xmlns:c15="http://schemas.microsoft.com/office/drawing/2012/chart" uri="{CE6537A1-D6FC-4f65-9D91-7224C49458BB}"/>
            </c:extLst>
          </c:dLbls>
          <c:cat>
            <c:strRef>
              <c:f>'1115-F02 Informe avance'!$G$94:$G$95</c:f>
              <c:strCache>
                <c:ptCount val="2"/>
                <c:pt idx="0">
                  <c:v>ACCIONES FINALIZADAS</c:v>
                </c:pt>
                <c:pt idx="1">
                  <c:v>ACCIONES  PENDIENTES</c:v>
                </c:pt>
              </c:strCache>
            </c:strRef>
          </c:cat>
          <c:val>
            <c:numRef>
              <c:f>'1115-F02 Informe avance'!$H$94:$H$95</c:f>
              <c:numCache>
                <c:formatCode>General</c:formatCode>
                <c:ptCount val="2"/>
                <c:pt idx="0">
                  <c:v>0</c:v>
                </c:pt>
                <c:pt idx="1">
                  <c:v>44</c:v>
                </c:pt>
              </c:numCache>
            </c:numRef>
          </c:val>
          <c:extLst>
            <c:ext xmlns:c16="http://schemas.microsoft.com/office/drawing/2014/chart" uri="{C3380CC4-5D6E-409C-BE32-E72D297353CC}">
              <c16:uniqueId val="{00000002-559E-486D-8458-F42511A420F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11661458015422492"/>
          <c:y val="0.72069898424500645"/>
          <c:w val="0.73089035382205125"/>
          <c:h val="0.27783788299672096"/>
        </c:manualLayout>
      </c:layout>
      <c:overlay val="0"/>
      <c:spPr>
        <a:noFill/>
        <a:ln w="25400">
          <a:noFill/>
        </a:ln>
      </c:spPr>
      <c:txPr>
        <a:bodyPr/>
        <a:lstStyle/>
        <a:p>
          <a:pPr>
            <a:defRPr sz="1140" b="1"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8E73-4060-B2EC-9E1D68587CE2}"/>
              </c:ext>
            </c:extLst>
          </c:dPt>
          <c:dPt>
            <c:idx val="1"/>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8E73-4060-B2EC-9E1D68587CE2}"/>
              </c:ext>
            </c:extLst>
          </c:dPt>
          <c:dLbls>
            <c:dLbl>
              <c:idx val="0"/>
              <c:layout>
                <c:manualLayout>
                  <c:x val="-0.21531117203903016"/>
                  <c:y val="-0.10669359511879201"/>
                </c:manualLayout>
              </c:layout>
              <c:tx>
                <c:rich>
                  <a:bodyPr/>
                  <a:lstStyle/>
                  <a:p>
                    <a:fld id="{696FF01B-C0F6-4ADC-B079-ED5DA0601147}" type="VALUE">
                      <a:rPr lang="en-US"/>
                      <a:pPr/>
                      <a:t>[VALOR]</a:t>
                    </a:fld>
                    <a:r>
                      <a:rPr lang="en-US"/>
                      <a:t>,53%</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8E73-4060-B2EC-9E1D68587CE2}"/>
                </c:ext>
              </c:extLst>
            </c:dLbl>
            <c:dLbl>
              <c:idx val="1"/>
              <c:layout>
                <c:manualLayout>
                  <c:x val="0.20524772064539634"/>
                  <c:y val="-1.9937280567201825E-3"/>
                </c:manualLayout>
              </c:layout>
              <c:tx>
                <c:rich>
                  <a:bodyPr/>
                  <a:lstStyle/>
                  <a:p>
                    <a:fld id="{D79CEF75-8535-4E78-9BFB-9BF5B76293E2}" type="VALUE">
                      <a:rPr lang="en-US"/>
                      <a:pPr/>
                      <a:t>[VALOR]</a:t>
                    </a:fld>
                    <a:r>
                      <a:rPr lang="en-US"/>
                      <a:t>, 47%</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8E73-4060-B2EC-9E1D68587CE2}"/>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'1115-F02 Informe avance Plan m '!$F$122:$F$123</c:f>
            </c:strRef>
          </c:cat>
          <c:val>
            <c:numRef>
              <c:f>'1115-F02 Informe avance Plan m '!$G$122:$G$123</c:f>
            </c:numRef>
          </c:val>
          <c:extLst>
            <c:ext xmlns:c16="http://schemas.microsoft.com/office/drawing/2014/chart" uri="{C3380CC4-5D6E-409C-BE32-E72D297353CC}">
              <c16:uniqueId val="{00000000-8E73-4060-B2EC-9E1D68587CE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246778506226988E-2"/>
          <c:y val="0.87729841061533975"/>
          <c:w val="0.83827429537752418"/>
          <c:h val="9.4923811606882472E-2"/>
        </c:manualLayout>
      </c:layout>
      <c:overlay val="0"/>
      <c:spPr>
        <a:noFill/>
        <a:ln>
          <a:noFill/>
        </a:ln>
        <a:effectLst/>
      </c:spPr>
      <c:txPr>
        <a:bodyPr rot="0" spcFirstLastPara="1" vertOverflow="ellipsis" vert="horz" wrap="square" anchor="ctr" anchorCtr="1"/>
        <a:lstStyle/>
        <a:p>
          <a:pPr>
            <a:defRPr sz="14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ESTADO DE LAS ACCIONES SEGUN REPORTE DE RESPONSABLES</a:t>
            </a:r>
          </a:p>
        </c:rich>
      </c:tx>
      <c:layout>
        <c:manualLayout>
          <c:xMode val="edge"/>
          <c:yMode val="edge"/>
          <c:x val="0.16745949009894889"/>
          <c:y val="3.3898305084745763E-2"/>
        </c:manualLayout>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1.9797994734226301E-3"/>
          <c:y val="0.31944155285674036"/>
          <c:w val="0.8171290921574943"/>
          <c:h val="0.54528032954214056"/>
        </c:manualLayout>
      </c:layout>
      <c:pie3DChart>
        <c:varyColors val="1"/>
        <c:ser>
          <c:idx val="0"/>
          <c:order val="0"/>
          <c:dPt>
            <c:idx val="0"/>
            <c:bubble3D val="0"/>
            <c:spPr>
              <a:solidFill>
                <a:srgbClr val="00B050"/>
              </a:solidFill>
            </c:spPr>
            <c:extLst>
              <c:ext xmlns:c16="http://schemas.microsoft.com/office/drawing/2014/chart" uri="{C3380CC4-5D6E-409C-BE32-E72D297353CC}">
                <c16:uniqueId val="{00000001-533E-4935-8D16-EAE3C693DB4F}"/>
              </c:ext>
            </c:extLst>
          </c:dPt>
          <c:dPt>
            <c:idx val="1"/>
            <c:bubble3D val="0"/>
            <c:spPr>
              <a:solidFill>
                <a:srgbClr val="FFFF00"/>
              </a:solidFill>
            </c:spPr>
            <c:extLst>
              <c:ext xmlns:c16="http://schemas.microsoft.com/office/drawing/2014/chart" uri="{C3380CC4-5D6E-409C-BE32-E72D297353CC}">
                <c16:uniqueId val="{00000003-533E-4935-8D16-EAE3C693DB4F}"/>
              </c:ext>
            </c:extLst>
          </c:dPt>
          <c:dLbls>
            <c:dLbl>
              <c:idx val="0"/>
              <c:layout>
                <c:manualLayout>
                  <c:x val="0.10101610538119354"/>
                  <c:y val="1.8636653469163813E-3"/>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33E-4935-8D16-EAE3C693DB4F}"/>
                </c:ext>
              </c:extLst>
            </c:dLbl>
            <c:dLbl>
              <c:idx val="1"/>
              <c:layout>
                <c:manualLayout>
                  <c:x val="0.23897996230647381"/>
                  <c:y val="2.1175011357461079E-2"/>
                </c:manualLayout>
              </c:layout>
              <c:numFmt formatCode="0%" sourceLinked="0"/>
              <c:spPr>
                <a:noFill/>
                <a:ln w="25400">
                  <a:noFill/>
                </a:ln>
              </c:spPr>
              <c:txPr>
                <a:bodyPr/>
                <a:lstStyle/>
                <a:p>
                  <a:pPr>
                    <a:defRPr sz="1600" b="1" i="0" u="none" strike="noStrike" baseline="0">
                      <a:solidFill>
                        <a:srgbClr val="000000"/>
                      </a:solidFill>
                      <a:latin typeface="Calibri"/>
                      <a:ea typeface="Calibri"/>
                      <a:cs typeface="Calibri"/>
                    </a:defRPr>
                  </a:pPr>
                  <a:endParaRPr lang="es-CO"/>
                </a:p>
              </c:txPr>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33E-4935-8D16-EAE3C693DB4F}"/>
                </c:ext>
              </c:extLst>
            </c:dLbl>
            <c:numFmt formatCode="0%" sourceLinked="0"/>
            <c:spPr>
              <a:noFill/>
              <a:ln w="25400">
                <a:noFill/>
              </a:ln>
            </c:spPr>
            <c:txPr>
              <a:bodyPr wrap="square" lIns="38100" tIns="19050" rIns="38100" bIns="19050" anchor="ctr">
                <a:spAutoFit/>
              </a:bodyPr>
              <a:lstStyle/>
              <a:p>
                <a:pPr>
                  <a:defRPr sz="1600" b="1"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1"/>
            <c:showBubbleSize val="0"/>
            <c:showLeaderLines val="1"/>
            <c:extLst>
              <c:ext xmlns:c15="http://schemas.microsoft.com/office/drawing/2012/chart" uri="{CE6537A1-D6FC-4f65-9D91-7224C49458BB}"/>
            </c:extLst>
          </c:dLbls>
          <c:cat>
            <c:strRef>
              <c:f>'1115-F02 Informe avance Plan m '!$F$122:$F$123</c:f>
            </c:strRef>
          </c:cat>
          <c:val>
            <c:numRef>
              <c:f>'1115-F02 Informe avance Plan m '!$G$122:$G$123</c:f>
            </c:numRef>
          </c:val>
          <c:extLst>
            <c:ext xmlns:c16="http://schemas.microsoft.com/office/drawing/2014/chart" uri="{C3380CC4-5D6E-409C-BE32-E72D297353CC}">
              <c16:uniqueId val="{00000004-533E-4935-8D16-EAE3C693DB4F}"/>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0.71129364697957354"/>
          <c:y val="0.37376751634859195"/>
          <c:w val="0.26937874549718843"/>
          <c:h val="0.30256624701573315"/>
        </c:manualLayout>
      </c:layout>
      <c:overlay val="0"/>
      <c:spPr>
        <a:noFill/>
        <a:ln w="25400">
          <a:noFill/>
        </a:ln>
      </c:spPr>
      <c:txPr>
        <a:bodyPr/>
        <a:lstStyle/>
        <a:p>
          <a:pPr>
            <a:defRPr sz="1100" b="1" i="0" u="none" strike="noStrike" cap="none" spc="0" baseline="0">
              <a:ln w="0"/>
              <a:solidFill>
                <a:schemeClr val="tx1"/>
              </a:solidFill>
              <a:effectLst>
                <a:outerShdw blurRad="38100" dist="19050" dir="2700000" algn="tl" rotWithShape="0">
                  <a:schemeClr val="dk1">
                    <a:alpha val="40000"/>
                  </a:schemeClr>
                </a:outerShdw>
              </a:effectLst>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a:t>
            </a:r>
            <a:r>
              <a:rPr lang="es-CO" baseline="0"/>
              <a:t> DE LOS HALLAZGOS RESPECTO AL CUMPLIMIENTO DE LA ACCION</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2"/>
          <c:order val="2"/>
          <c:spPr>
            <a:solidFill>
              <a:schemeClr val="accent6"/>
            </a:solidFill>
            <a:ln>
              <a:noFill/>
            </a:ln>
            <a:effectLst/>
          </c:spPr>
          <c:invertIfNegative val="0"/>
          <c:dPt>
            <c:idx val="2"/>
            <c:invertIfNegative val="0"/>
            <c:bubble3D val="0"/>
            <c:spPr>
              <a:solidFill>
                <a:srgbClr val="C00000"/>
              </a:solidFill>
              <a:ln>
                <a:noFill/>
              </a:ln>
              <a:effectLst/>
            </c:spPr>
            <c:extLst>
              <c:ext xmlns:c16="http://schemas.microsoft.com/office/drawing/2014/chart" uri="{C3380CC4-5D6E-409C-BE32-E72D297353CC}">
                <c16:uniqueId val="{00000001-2C12-4632-B9D4-40FB6395A6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'1115-F02 Informe avance Plan m '!$O$131:$O$133</c:f>
            </c:strRef>
          </c:cat>
          <c:val>
            <c:numRef>
              <c:f>'1115-F02 Informe avance Plan m '!$R$131:$R$133</c:f>
            </c:numRef>
          </c:val>
          <c:extLst>
            <c:ext xmlns:c16="http://schemas.microsoft.com/office/drawing/2014/chart" uri="{C3380CC4-5D6E-409C-BE32-E72D297353CC}">
              <c16:uniqueId val="{00000000-9A61-4D52-9DD7-499CE192CECD}"/>
            </c:ext>
          </c:extLst>
        </c:ser>
        <c:dLbls>
          <c:showLegendKey val="0"/>
          <c:showVal val="0"/>
          <c:showCatName val="0"/>
          <c:showSerName val="0"/>
          <c:showPercent val="0"/>
          <c:showBubbleSize val="0"/>
        </c:dLbls>
        <c:gapWidth val="219"/>
        <c:overlap val="-27"/>
        <c:axId val="509377144"/>
        <c:axId val="509377472"/>
        <c:extLst>
          <c:ext xmlns:c15="http://schemas.microsoft.com/office/drawing/2012/chart" uri="{02D57815-91ED-43cb-92C2-25804820EDAC}">
            <c15:filteredBarSeries>
              <c15:ser>
                <c:idx val="0"/>
                <c:order val="0"/>
                <c:spPr>
                  <a:solidFill>
                    <a:schemeClr val="accent2"/>
                  </a:solidFill>
                  <a:ln>
                    <a:noFill/>
                  </a:ln>
                  <a:effectLst/>
                </c:spPr>
                <c:invertIfNegative val="0"/>
                <c:cat>
                  <c:strRef>
                    <c:extLst>
                      <c:ext uri="{02D57815-91ED-43cb-92C2-25804820EDAC}">
                        <c15:formulaRef>
                          <c15:sqref>'1115-F02 Informe avance Plan m '!$O$131:$O$133</c15:sqref>
                        </c15:formulaRef>
                      </c:ext>
                    </c:extLst>
                  </c:strRef>
                </c:cat>
                <c:val>
                  <c:numRef>
                    <c:extLst>
                      <c:ext uri="{02D57815-91ED-43cb-92C2-25804820EDAC}">
                        <c15:formulaRef>
                          <c15:sqref>'1115-F02 Informe avance Plan m '!$P$131:$P$133</c15:sqref>
                        </c15:formulaRef>
                      </c:ext>
                    </c:extLst>
                  </c:numRef>
                </c:val>
                <c:extLst>
                  <c:ext xmlns:c16="http://schemas.microsoft.com/office/drawing/2014/chart" uri="{C3380CC4-5D6E-409C-BE32-E72D297353CC}">
                    <c16:uniqueId val="{00000001-9A61-4D52-9DD7-499CE192CECD}"/>
                  </c:ext>
                </c:extLst>
              </c15:ser>
            </c15:filteredBarSeries>
            <c15:filteredBarSeries>
              <c15:ser>
                <c:idx val="1"/>
                <c:order val="1"/>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'1115-F02 Informe avance Plan m '!$O$131:$O$133</c15:sqref>
                        </c15:formulaRef>
                      </c:ext>
                    </c:extLst>
                  </c:strRef>
                </c:cat>
                <c:val>
                  <c:numRef>
                    <c:extLst xmlns:c15="http://schemas.microsoft.com/office/drawing/2012/chart">
                      <c:ext xmlns:c15="http://schemas.microsoft.com/office/drawing/2012/chart" uri="{02D57815-91ED-43cb-92C2-25804820EDAC}">
                        <c15:formulaRef>
                          <c15:sqref>'1115-F02 Informe avance Plan m '!$Q$131:$Q$133</c15:sqref>
                        </c15:formulaRef>
                      </c:ext>
                    </c:extLst>
                  </c:numRef>
                </c:val>
                <c:extLst xmlns:c15="http://schemas.microsoft.com/office/drawing/2012/chart">
                  <c:ext xmlns:c16="http://schemas.microsoft.com/office/drawing/2014/chart" uri="{C3380CC4-5D6E-409C-BE32-E72D297353CC}">
                    <c16:uniqueId val="{00000002-9A61-4D52-9DD7-499CE192CECD}"/>
                  </c:ext>
                </c:extLst>
              </c15:ser>
            </c15:filteredBarSeries>
          </c:ext>
        </c:extLst>
      </c:barChart>
      <c:catAx>
        <c:axId val="50937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377472"/>
        <c:crosses val="autoZero"/>
        <c:auto val="1"/>
        <c:lblAlgn val="ctr"/>
        <c:lblOffset val="100"/>
        <c:noMultiLvlLbl val="0"/>
      </c:catAx>
      <c:valAx>
        <c:axId val="509377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377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ESTADO DE LOS HALLAZGOS RESPECTO A LA EFECTIVIDAD DE LA ACCION</a:t>
            </a:r>
            <a:endParaRPr lang="es-CO"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'1115-F02 Informe avance Plan m '!$T$131:$T$133</c:f>
            </c:numRef>
          </c:val>
          <c:extLst>
            <c:ext xmlns:c15="http://schemas.microsoft.com/office/drawing/2012/chart" uri="{02D57815-91ED-43cb-92C2-25804820EDAC}">
              <c15:filteredCategoryTitle>
                <c15:cat>
                  <c:strRef>
                    <c:extLst>
                      <c:ext uri="{02D57815-91ED-43cb-92C2-25804820EDAC}">
                        <c15:formulaRef>
                          <c15:sqref>'1115-F02 Informe avance Plan m '!$S$131:$S$133</c15:sqref>
                        </c15:formulaRef>
                      </c:ext>
                    </c:extLst>
                  </c:strRef>
                </c15:cat>
              </c15:filteredCategoryTitle>
            </c:ext>
            <c:ext xmlns:c16="http://schemas.microsoft.com/office/drawing/2014/chart" uri="{C3380CC4-5D6E-409C-BE32-E72D297353CC}">
              <c16:uniqueId val="{00000000-8585-4E62-A7CB-BE6E5BCBAFE9}"/>
            </c:ext>
          </c:extLst>
        </c:ser>
        <c:dLbls>
          <c:showLegendKey val="0"/>
          <c:showVal val="0"/>
          <c:showCatName val="0"/>
          <c:showSerName val="0"/>
          <c:showPercent val="0"/>
          <c:showBubbleSize val="0"/>
        </c:dLbls>
        <c:gapWidth val="219"/>
        <c:overlap val="-27"/>
        <c:axId val="646236608"/>
        <c:axId val="646232672"/>
      </c:barChart>
      <c:catAx>
        <c:axId val="64623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6232672"/>
        <c:crosses val="autoZero"/>
        <c:auto val="1"/>
        <c:lblAlgn val="ctr"/>
        <c:lblOffset val="100"/>
        <c:noMultiLvlLbl val="0"/>
      </c:catAx>
      <c:valAx>
        <c:axId val="646232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6236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EVALUACION</a:t>
            </a:r>
            <a:r>
              <a:rPr lang="es-CO" baseline="0"/>
              <a:t> DE LOS HALLAZGOS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3"/>
          <c:order val="3"/>
          <c:spPr>
            <a:solidFill>
              <a:schemeClr val="accent4"/>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B76D-4D88-85AC-A8FED3862C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'1115-F02 Informe avance Plan m '!$V$120:$V$122</c:f>
            </c:numRef>
          </c:val>
          <c:extLst>
            <c:ext xmlns:c15="http://schemas.microsoft.com/office/drawing/2012/chart" uri="{02D57815-91ED-43cb-92C2-25804820EDAC}">
              <c15:filteredCategoryTitle>
                <c15:cat>
                  <c:strRef>
                    <c:extLst>
                      <c:ext uri="{02D57815-91ED-43cb-92C2-25804820EDAC}">
                        <c15:formulaRef>
                          <c15:sqref>'1115-F02 Informe avance Plan m '!$R$120:$R$122</c15:sqref>
                        </c15:formulaRef>
                      </c:ext>
                    </c:extLst>
                  </c:strRef>
                </c15:cat>
              </c15:filteredCategoryTitle>
            </c:ext>
            <c:ext xmlns:c16="http://schemas.microsoft.com/office/drawing/2014/chart" uri="{C3380CC4-5D6E-409C-BE32-E72D297353CC}">
              <c16:uniqueId val="{00000000-A151-4D24-AB70-375CD09A0D6C}"/>
            </c:ext>
          </c:extLst>
        </c:ser>
        <c:dLbls>
          <c:showLegendKey val="0"/>
          <c:showVal val="0"/>
          <c:showCatName val="0"/>
          <c:showSerName val="0"/>
          <c:showPercent val="0"/>
          <c:showBubbleSize val="0"/>
        </c:dLbls>
        <c:gapWidth val="219"/>
        <c:overlap val="-27"/>
        <c:axId val="656096960"/>
        <c:axId val="656101552"/>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'1115-F02 Informe avance Plan m '!$S$120:$S$122</c15:sqref>
                        </c15:formulaRef>
                      </c:ext>
                    </c:extLst>
                  </c:numRef>
                </c:val>
                <c:extLst>
                  <c:ext uri="{02D57815-91ED-43cb-92C2-25804820EDAC}">
                    <c15:filteredCategoryTitle>
                      <c15:cat>
                        <c:strRef>
                          <c:extLst>
                            <c:ext uri="{02D57815-91ED-43cb-92C2-25804820EDAC}">
                              <c15:formulaRef>
                                <c15:sqref>'1115-F02 Informe avance Plan m '!$R$120:$R$122</c15:sqref>
                              </c15:formulaRef>
                            </c:ext>
                          </c:extLst>
                        </c:strRef>
                      </c15:cat>
                    </c15:filteredCategoryTitle>
                  </c:ext>
                  <c:ext xmlns:c16="http://schemas.microsoft.com/office/drawing/2014/chart" uri="{C3380CC4-5D6E-409C-BE32-E72D297353CC}">
                    <c16:uniqueId val="{00000001-A151-4D24-AB70-375CD09A0D6C}"/>
                  </c:ext>
                </c:extLst>
              </c15:ser>
            </c15:filteredBarSeries>
            <c15:filteredBarSeries>
              <c15:ser>
                <c:idx val="1"/>
                <c:order val="1"/>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'1115-F02 Informe avance Plan m '!$T$120:$T$122</c15:sqref>
                        </c15:formulaRef>
                      </c:ext>
                    </c:extLst>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'1115-F02 Informe avance Plan m '!$R$120:$R$122</c15:sqref>
                              </c15:formulaRef>
                            </c:ext>
                          </c:extLst>
                        </c:strRef>
                      </c15:cat>
                    </c15:filteredCategoryTitle>
                  </c:ext>
                  <c:ext xmlns:c16="http://schemas.microsoft.com/office/drawing/2014/chart" uri="{C3380CC4-5D6E-409C-BE32-E72D297353CC}">
                    <c16:uniqueId val="{00000002-A151-4D24-AB70-375CD09A0D6C}"/>
                  </c:ext>
                </c:extLst>
              </c15:ser>
            </c15:filteredBarSeries>
            <c15:filteredBarSeries>
              <c15:ser>
                <c:idx val="2"/>
                <c:order val="2"/>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'1115-F02 Informe avance Plan m '!$U$120:$U$122</c15:sqref>
                        </c15:formulaRef>
                      </c:ext>
                    </c:extLst>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'1115-F02 Informe avance Plan m '!$R$120:$R$122</c15:sqref>
                              </c15:formulaRef>
                            </c:ext>
                          </c:extLst>
                        </c:strRef>
                      </c15:cat>
                    </c15:filteredCategoryTitle>
                  </c:ext>
                  <c:ext xmlns:c16="http://schemas.microsoft.com/office/drawing/2014/chart" uri="{C3380CC4-5D6E-409C-BE32-E72D297353CC}">
                    <c16:uniqueId val="{00000003-A151-4D24-AB70-375CD09A0D6C}"/>
                  </c:ext>
                </c:extLst>
              </c15:ser>
            </c15:filteredBarSeries>
          </c:ext>
        </c:extLst>
      </c:barChart>
      <c:catAx>
        <c:axId val="656096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56101552"/>
        <c:crosses val="autoZero"/>
        <c:auto val="1"/>
        <c:lblAlgn val="ctr"/>
        <c:lblOffset val="100"/>
        <c:noMultiLvlLbl val="0"/>
      </c:catAx>
      <c:valAx>
        <c:axId val="656101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5609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0</xdr:row>
      <xdr:rowOff>31749</xdr:rowOff>
    </xdr:from>
    <xdr:to>
      <xdr:col>2</xdr:col>
      <xdr:colOff>393700</xdr:colOff>
      <xdr:row>4</xdr:row>
      <xdr:rowOff>80432</xdr:rowOff>
    </xdr:to>
    <xdr:pic>
      <xdr:nvPicPr>
        <xdr:cNvPr id="2388859" name="3 Imagen">
          <a:extLst>
            <a:ext uri="{FF2B5EF4-FFF2-40B4-BE49-F238E27FC236}">
              <a16:creationId xmlns:a16="http://schemas.microsoft.com/office/drawing/2014/main" id="{00000000-0008-0000-0000-00007B732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3" y="31749"/>
          <a:ext cx="848784" cy="64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2</xdr:col>
      <xdr:colOff>304800</xdr:colOff>
      <xdr:row>3</xdr:row>
      <xdr:rowOff>76200</xdr:rowOff>
    </xdr:to>
    <xdr:pic>
      <xdr:nvPicPr>
        <xdr:cNvPr id="2993833" name="3 Imagen">
          <a:extLst>
            <a:ext uri="{FF2B5EF4-FFF2-40B4-BE49-F238E27FC236}">
              <a16:creationId xmlns:a16="http://schemas.microsoft.com/office/drawing/2014/main" id="{00000000-0008-0000-0100-0000A9AE2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200"/>
          <a:ext cx="9334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91</xdr:row>
      <xdr:rowOff>76200</xdr:rowOff>
    </xdr:from>
    <xdr:to>
      <xdr:col>15</xdr:col>
      <xdr:colOff>133350</xdr:colOff>
      <xdr:row>113</xdr:row>
      <xdr:rowOff>38100</xdr:rowOff>
    </xdr:to>
    <xdr:graphicFrame macro="">
      <xdr:nvGraphicFramePr>
        <xdr:cNvPr id="2993834" name="Gráfico 3">
          <a:extLst>
            <a:ext uri="{FF2B5EF4-FFF2-40B4-BE49-F238E27FC236}">
              <a16:creationId xmlns:a16="http://schemas.microsoft.com/office/drawing/2014/main" id="{00000000-0008-0000-0100-0000AAAE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114300</xdr:rowOff>
    </xdr:from>
    <xdr:to>
      <xdr:col>2</xdr:col>
      <xdr:colOff>695477</xdr:colOff>
      <xdr:row>3</xdr:row>
      <xdr:rowOff>152400</xdr:rowOff>
    </xdr:to>
    <xdr:pic>
      <xdr:nvPicPr>
        <xdr:cNvPr id="3891302" name="3 Imagen">
          <a:extLst>
            <a:ext uri="{FF2B5EF4-FFF2-40B4-BE49-F238E27FC236}">
              <a16:creationId xmlns:a16="http://schemas.microsoft.com/office/drawing/2014/main" id="{00000000-0008-0000-0200-00006660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850106" cy="66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1154905</xdr:colOff>
      <xdr:row>124</xdr:row>
      <xdr:rowOff>152400</xdr:rowOff>
    </xdr:from>
    <xdr:to>
      <xdr:col>10</xdr:col>
      <xdr:colOff>595311</xdr:colOff>
      <xdr:row>140</xdr:row>
      <xdr:rowOff>38100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7</xdr:col>
      <xdr:colOff>752475</xdr:colOff>
      <xdr:row>22</xdr:row>
      <xdr:rowOff>142875</xdr:rowOff>
    </xdr:to>
    <xdr:graphicFrame macro="">
      <xdr:nvGraphicFramePr>
        <xdr:cNvPr id="2" name="Gráfico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171449</xdr:rowOff>
    </xdr:from>
    <xdr:to>
      <xdr:col>7</xdr:col>
      <xdr:colOff>752474</xdr:colOff>
      <xdr:row>45</xdr:row>
      <xdr:rowOff>66674</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0</xdr:rowOff>
    </xdr:from>
    <xdr:to>
      <xdr:col>8</xdr:col>
      <xdr:colOff>19050</xdr:colOff>
      <xdr:row>69</xdr:row>
      <xdr:rowOff>104775</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73</xdr:row>
      <xdr:rowOff>0</xdr:rowOff>
    </xdr:from>
    <xdr:to>
      <xdr:col>7</xdr:col>
      <xdr:colOff>742950</xdr:colOff>
      <xdr:row>94</xdr:row>
      <xdr:rowOff>66675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pdi.utp.edu.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D418"/>
  <sheetViews>
    <sheetView zoomScale="90" zoomScaleNormal="90" zoomScaleSheetLayoutView="110" workbookViewId="0">
      <selection activeCell="C14" sqref="C14:C16"/>
    </sheetView>
  </sheetViews>
  <sheetFormatPr baseColWidth="10" defaultColWidth="9.140625" defaultRowHeight="12" x14ac:dyDescent="0.2"/>
  <cols>
    <col min="1" max="1" width="4" style="472" customWidth="1"/>
    <col min="2" max="2" width="7.28515625" style="467" customWidth="1"/>
    <col min="3" max="3" width="46.28515625" style="473" customWidth="1"/>
    <col min="4" max="4" width="13.85546875" style="467" customWidth="1"/>
    <col min="5" max="5" width="23.42578125" style="467" customWidth="1"/>
    <col min="6" max="6" width="27.5703125" style="467" customWidth="1"/>
    <col min="7" max="7" width="26.7109375" style="474" customWidth="1"/>
    <col min="8" max="8" width="26.7109375" style="473" customWidth="1"/>
    <col min="9" max="9" width="13.28515625" style="467" customWidth="1"/>
    <col min="10" max="10" width="11.140625" style="467" customWidth="1"/>
    <col min="11" max="11" width="10.28515625" style="467" customWidth="1"/>
    <col min="12" max="12" width="12.28515625" style="467" customWidth="1"/>
    <col min="13" max="13" width="11.140625" style="467" customWidth="1"/>
    <col min="14" max="14" width="9.7109375" style="467" customWidth="1"/>
    <col min="15" max="15" width="39.5703125" style="467" customWidth="1"/>
    <col min="16" max="16" width="19.42578125" style="1" hidden="1" customWidth="1"/>
    <col min="17" max="17" width="32.28515625" style="1" hidden="1" customWidth="1"/>
    <col min="18" max="18" width="11.42578125" style="1" hidden="1" customWidth="1"/>
    <col min="19" max="19" width="13.140625" style="1" hidden="1" customWidth="1"/>
    <col min="20" max="20" width="27.42578125" style="1" hidden="1" customWidth="1"/>
    <col min="21" max="21" width="15.140625" style="1" hidden="1" customWidth="1"/>
    <col min="22" max="22" width="9.140625" style="1" hidden="1" customWidth="1"/>
    <col min="23" max="23" width="25.140625" style="1" hidden="1" customWidth="1"/>
    <col min="24" max="24" width="17.5703125" style="1" hidden="1" customWidth="1"/>
    <col min="25" max="25" width="13.7109375" style="1" hidden="1" customWidth="1"/>
    <col min="26" max="26" width="9.140625" style="1" hidden="1" customWidth="1"/>
    <col min="27" max="38" width="0" style="1" hidden="1" customWidth="1"/>
    <col min="39" max="81" width="9.140625" style="1"/>
    <col min="82" max="16384" width="9.140625" style="465"/>
  </cols>
  <sheetData>
    <row r="1" spans="1:81" x14ac:dyDescent="0.2">
      <c r="A1" s="638" t="s">
        <v>20</v>
      </c>
      <c r="B1" s="639"/>
      <c r="C1" s="639"/>
      <c r="D1" s="639"/>
      <c r="E1" s="639"/>
      <c r="F1" s="639"/>
      <c r="G1" s="639"/>
      <c r="H1" s="639"/>
      <c r="I1" s="639"/>
      <c r="J1" s="639"/>
      <c r="K1" s="639"/>
      <c r="L1" s="639"/>
      <c r="M1" s="457"/>
      <c r="N1" s="298" t="s">
        <v>15</v>
      </c>
      <c r="O1" s="55"/>
    </row>
    <row r="2" spans="1:81" x14ac:dyDescent="0.2">
      <c r="A2" s="54"/>
      <c r="B2" s="459"/>
      <c r="C2" s="235"/>
      <c r="D2" s="459"/>
      <c r="E2" s="459"/>
      <c r="F2" s="73"/>
      <c r="G2" s="270"/>
      <c r="H2" s="203"/>
      <c r="I2" s="1"/>
      <c r="J2" s="459"/>
      <c r="K2" s="459"/>
      <c r="L2" s="459"/>
      <c r="M2" s="459"/>
      <c r="N2" s="299" t="s">
        <v>16</v>
      </c>
      <c r="O2" s="56"/>
    </row>
    <row r="3" spans="1:81" x14ac:dyDescent="0.2">
      <c r="A3" s="653" t="s">
        <v>86</v>
      </c>
      <c r="B3" s="654"/>
      <c r="C3" s="654"/>
      <c r="D3" s="654"/>
      <c r="E3" s="654"/>
      <c r="F3" s="654"/>
      <c r="G3" s="654"/>
      <c r="H3" s="654"/>
      <c r="I3" s="654"/>
      <c r="J3" s="654"/>
      <c r="K3" s="654"/>
      <c r="L3" s="654"/>
      <c r="M3" s="458"/>
      <c r="N3" s="299" t="s">
        <v>17</v>
      </c>
      <c r="O3" s="57"/>
    </row>
    <row r="4" spans="1:81" x14ac:dyDescent="0.2">
      <c r="A4" s="54"/>
      <c r="B4" s="459"/>
      <c r="C4" s="235"/>
      <c r="D4" s="459"/>
      <c r="E4" s="459"/>
      <c r="F4" s="73"/>
      <c r="G4" s="270"/>
      <c r="H4" s="203"/>
      <c r="I4" s="1"/>
      <c r="J4" s="459"/>
      <c r="K4" s="459"/>
      <c r="L4" s="459"/>
      <c r="M4" s="459"/>
      <c r="N4" s="299" t="s">
        <v>27</v>
      </c>
      <c r="O4" s="56"/>
    </row>
    <row r="5" spans="1:81" ht="12.75" thickBot="1" x14ac:dyDescent="0.25">
      <c r="A5" s="2"/>
      <c r="B5" s="51"/>
      <c r="C5" s="72"/>
      <c r="D5" s="51"/>
      <c r="E5" s="51"/>
      <c r="F5" s="51"/>
      <c r="G5" s="3"/>
      <c r="H5" s="72"/>
      <c r="I5" s="3"/>
      <c r="J5" s="51"/>
      <c r="K5" s="51"/>
      <c r="L5" s="51"/>
      <c r="M5" s="51"/>
      <c r="N5" s="300"/>
      <c r="O5" s="297"/>
    </row>
    <row r="6" spans="1:81" ht="12.75" thickBot="1" x14ac:dyDescent="0.25">
      <c r="A6" s="236"/>
      <c r="B6" s="458"/>
      <c r="C6" s="237"/>
      <c r="D6" s="458"/>
      <c r="E6" s="458"/>
      <c r="F6" s="458"/>
      <c r="G6" s="238"/>
      <c r="H6" s="237"/>
      <c r="I6" s="238"/>
      <c r="J6" s="458"/>
      <c r="K6" s="458"/>
      <c r="L6" s="458"/>
      <c r="M6" s="458"/>
      <c r="N6" s="458"/>
      <c r="O6" s="296"/>
    </row>
    <row r="7" spans="1:81" ht="12.75" customHeight="1" x14ac:dyDescent="0.2">
      <c r="A7" s="701" t="s">
        <v>162</v>
      </c>
      <c r="B7" s="694"/>
      <c r="C7" s="694"/>
      <c r="D7" s="694"/>
      <c r="E7" s="694"/>
      <c r="F7" s="239"/>
      <c r="G7" s="239"/>
      <c r="H7" s="239"/>
      <c r="I7" s="693" t="s">
        <v>158</v>
      </c>
      <c r="J7" s="694"/>
      <c r="K7" s="694"/>
      <c r="L7" s="694"/>
      <c r="M7" s="694"/>
      <c r="N7" s="694"/>
      <c r="O7" s="695"/>
    </row>
    <row r="8" spans="1:81" x14ac:dyDescent="0.2">
      <c r="A8" s="651" t="s">
        <v>65</v>
      </c>
      <c r="B8" s="652"/>
      <c r="C8" s="652"/>
      <c r="D8" s="657" t="s">
        <v>164</v>
      </c>
      <c r="E8" s="657"/>
      <c r="F8" s="696" t="s">
        <v>159</v>
      </c>
      <c r="G8" s="698" t="s">
        <v>410</v>
      </c>
      <c r="H8" s="301"/>
      <c r="I8" s="646" t="s">
        <v>28</v>
      </c>
      <c r="J8" s="647"/>
      <c r="K8" s="647"/>
      <c r="L8" s="647"/>
      <c r="M8" s="644" t="s">
        <v>67</v>
      </c>
      <c r="N8" s="644"/>
      <c r="O8" s="645"/>
    </row>
    <row r="9" spans="1:81" ht="12.75" customHeight="1" x14ac:dyDescent="0.2">
      <c r="A9" s="652" t="s">
        <v>29</v>
      </c>
      <c r="B9" s="652"/>
      <c r="C9" s="652"/>
      <c r="D9" s="655">
        <v>12</v>
      </c>
      <c r="E9" s="655"/>
      <c r="F9" s="696"/>
      <c r="G9" s="699"/>
      <c r="H9" s="240"/>
      <c r="I9" s="646" t="s">
        <v>88</v>
      </c>
      <c r="J9" s="647"/>
      <c r="K9" s="647"/>
      <c r="L9" s="647"/>
      <c r="M9" s="670" t="s">
        <v>157</v>
      </c>
      <c r="N9" s="671"/>
      <c r="O9" s="672"/>
    </row>
    <row r="10" spans="1:81" ht="13.5" customHeight="1" thickBot="1" x14ac:dyDescent="0.25">
      <c r="A10" s="668" t="s">
        <v>161</v>
      </c>
      <c r="B10" s="669"/>
      <c r="C10" s="669"/>
      <c r="D10" s="656" t="s">
        <v>409</v>
      </c>
      <c r="E10" s="656"/>
      <c r="F10" s="697"/>
      <c r="G10" s="700"/>
      <c r="H10" s="241"/>
      <c r="I10" s="648" t="s">
        <v>160</v>
      </c>
      <c r="J10" s="649"/>
      <c r="K10" s="649"/>
      <c r="L10" s="649"/>
      <c r="M10" s="661">
        <v>22</v>
      </c>
      <c r="N10" s="661"/>
      <c r="O10" s="662"/>
    </row>
    <row r="11" spans="1:81" ht="16.5" thickBot="1" x14ac:dyDescent="0.25">
      <c r="A11" s="658"/>
      <c r="B11" s="655"/>
      <c r="C11" s="655"/>
      <c r="D11" s="655"/>
      <c r="E11" s="655"/>
      <c r="F11" s="655"/>
      <c r="G11" s="655"/>
      <c r="H11" s="655"/>
      <c r="I11" s="655"/>
      <c r="J11" s="655"/>
      <c r="K11" s="655"/>
      <c r="L11" s="655"/>
      <c r="M11" s="655"/>
      <c r="N11" s="655"/>
      <c r="O11" s="659"/>
      <c r="P11" s="611" t="s">
        <v>316</v>
      </c>
      <c r="Q11" s="612"/>
      <c r="R11" s="612"/>
      <c r="S11" s="612"/>
      <c r="T11" s="612"/>
      <c r="U11" s="612"/>
      <c r="V11" s="612"/>
      <c r="W11" s="612"/>
      <c r="X11" s="612"/>
      <c r="Y11" s="612"/>
    </row>
    <row r="12" spans="1:81" s="466" customFormat="1" ht="12.75" x14ac:dyDescent="0.2">
      <c r="A12" s="673" t="s">
        <v>7</v>
      </c>
      <c r="B12" s="674"/>
      <c r="C12" s="674"/>
      <c r="D12" s="674"/>
      <c r="E12" s="674"/>
      <c r="F12" s="663" t="s">
        <v>13</v>
      </c>
      <c r="G12" s="660" t="s">
        <v>25</v>
      </c>
      <c r="H12" s="660"/>
      <c r="I12" s="660"/>
      <c r="J12" s="660"/>
      <c r="K12" s="660"/>
      <c r="L12" s="660"/>
      <c r="M12" s="660"/>
      <c r="N12" s="640" t="s">
        <v>35</v>
      </c>
      <c r="O12" s="641"/>
      <c r="P12" s="627" t="s">
        <v>319</v>
      </c>
      <c r="Q12" s="620" t="s">
        <v>321</v>
      </c>
      <c r="R12" s="620"/>
      <c r="S12" s="620"/>
      <c r="T12" s="620" t="s">
        <v>323</v>
      </c>
      <c r="U12" s="620"/>
      <c r="V12" s="620"/>
      <c r="W12" s="620" t="s">
        <v>324</v>
      </c>
      <c r="X12" s="620"/>
      <c r="Y12" s="620"/>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row>
    <row r="13" spans="1:81" s="467" customFormat="1" ht="36.75" thickBot="1" x14ac:dyDescent="0.25">
      <c r="A13" s="242" t="s">
        <v>8</v>
      </c>
      <c r="B13" s="460" t="s">
        <v>6</v>
      </c>
      <c r="C13" s="243" t="s">
        <v>5</v>
      </c>
      <c r="D13" s="460" t="s">
        <v>30</v>
      </c>
      <c r="E13" s="460" t="s">
        <v>34</v>
      </c>
      <c r="F13" s="664"/>
      <c r="G13" s="271" t="s">
        <v>2</v>
      </c>
      <c r="H13" s="460" t="s">
        <v>89</v>
      </c>
      <c r="I13" s="460" t="s">
        <v>0</v>
      </c>
      <c r="J13" s="460" t="s">
        <v>32</v>
      </c>
      <c r="K13" s="460" t="s">
        <v>31</v>
      </c>
      <c r="L13" s="460" t="s">
        <v>64</v>
      </c>
      <c r="M13" s="460" t="s">
        <v>33</v>
      </c>
      <c r="N13" s="642"/>
      <c r="O13" s="643"/>
      <c r="P13" s="628"/>
      <c r="Q13" s="373" t="s">
        <v>320</v>
      </c>
      <c r="R13" s="374" t="s">
        <v>317</v>
      </c>
      <c r="S13" s="374" t="s">
        <v>318</v>
      </c>
      <c r="T13" s="373" t="s">
        <v>320</v>
      </c>
      <c r="U13" s="374" t="s">
        <v>317</v>
      </c>
      <c r="V13" s="374" t="s">
        <v>318</v>
      </c>
      <c r="W13" s="373" t="s">
        <v>320</v>
      </c>
      <c r="X13" s="374" t="s">
        <v>317</v>
      </c>
      <c r="Y13" s="374" t="s">
        <v>318</v>
      </c>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row>
    <row r="14" spans="1:81" s="468" customFormat="1" ht="65.099999999999994" customHeight="1" x14ac:dyDescent="0.2">
      <c r="A14" s="613">
        <v>1</v>
      </c>
      <c r="B14" s="665" t="s">
        <v>113</v>
      </c>
      <c r="C14" s="617" t="s">
        <v>135</v>
      </c>
      <c r="D14" s="618" t="s">
        <v>171</v>
      </c>
      <c r="E14" s="618" t="s">
        <v>172</v>
      </c>
      <c r="F14" s="576" t="s">
        <v>165</v>
      </c>
      <c r="G14" s="302" t="s">
        <v>166</v>
      </c>
      <c r="H14" s="343" t="s">
        <v>169</v>
      </c>
      <c r="I14" s="304" t="s">
        <v>170</v>
      </c>
      <c r="J14" s="304">
        <v>1</v>
      </c>
      <c r="K14" s="305">
        <v>44044</v>
      </c>
      <c r="L14" s="305">
        <v>44255</v>
      </c>
      <c r="M14" s="306">
        <f>(L14-K14)/7</f>
        <v>30.142857142857142</v>
      </c>
      <c r="N14" s="683" t="s">
        <v>87</v>
      </c>
      <c r="O14" s="684"/>
      <c r="P14" s="414"/>
      <c r="Q14" s="375" t="s">
        <v>322</v>
      </c>
      <c r="R14" s="376"/>
      <c r="S14" s="377">
        <f>(R14-K14)/7</f>
        <v>-6292</v>
      </c>
      <c r="T14" s="375" t="s">
        <v>322</v>
      </c>
      <c r="U14" s="376"/>
      <c r="V14" s="377">
        <f>(U14-K14)/7</f>
        <v>-6292</v>
      </c>
      <c r="W14" s="375" t="s">
        <v>322</v>
      </c>
      <c r="X14" s="376"/>
      <c r="Y14" s="378">
        <f>(X14-K14)/7</f>
        <v>-6292</v>
      </c>
    </row>
    <row r="15" spans="1:81" s="468" customFormat="1" ht="65.099999999999994" customHeight="1" x14ac:dyDescent="0.2">
      <c r="A15" s="579"/>
      <c r="B15" s="666"/>
      <c r="C15" s="577"/>
      <c r="D15" s="563"/>
      <c r="E15" s="563"/>
      <c r="F15" s="565"/>
      <c r="G15" s="307" t="s">
        <v>167</v>
      </c>
      <c r="H15" s="303" t="s">
        <v>169</v>
      </c>
      <c r="I15" s="462" t="s">
        <v>170</v>
      </c>
      <c r="J15" s="462">
        <v>1</v>
      </c>
      <c r="K15" s="308">
        <v>44256</v>
      </c>
      <c r="L15" s="308">
        <v>44316</v>
      </c>
      <c r="M15" s="309">
        <f t="shared" ref="M15:M21" si="0">(L15-K15)/7</f>
        <v>8.5714285714285712</v>
      </c>
      <c r="N15" s="607"/>
      <c r="O15" s="608"/>
      <c r="P15" s="415"/>
      <c r="Q15" s="379" t="s">
        <v>322</v>
      </c>
      <c r="R15" s="380"/>
      <c r="S15" s="381">
        <f t="shared" ref="S15:S43" si="1">(R15-K15)/7</f>
        <v>-6322.2857142857147</v>
      </c>
      <c r="T15" s="379" t="s">
        <v>322</v>
      </c>
      <c r="U15" s="380"/>
      <c r="V15" s="381">
        <f t="shared" ref="V15:V78" si="2">(U15-K15)/7</f>
        <v>-6322.2857142857147</v>
      </c>
      <c r="W15" s="379" t="s">
        <v>322</v>
      </c>
      <c r="X15" s="380"/>
      <c r="Y15" s="382">
        <f t="shared" ref="Y15:Y78" si="3">(X15-K15)/7</f>
        <v>-6322.2857142857147</v>
      </c>
    </row>
    <row r="16" spans="1:81" s="468" customFormat="1" ht="65.099999999999994" customHeight="1" thickBot="1" x14ac:dyDescent="0.25">
      <c r="A16" s="580"/>
      <c r="B16" s="667"/>
      <c r="C16" s="558"/>
      <c r="D16" s="556"/>
      <c r="E16" s="556"/>
      <c r="F16" s="566"/>
      <c r="G16" s="310" t="s">
        <v>168</v>
      </c>
      <c r="H16" s="311" t="s">
        <v>169</v>
      </c>
      <c r="I16" s="463" t="s">
        <v>170</v>
      </c>
      <c r="J16" s="463">
        <v>1</v>
      </c>
      <c r="K16" s="312">
        <v>44317</v>
      </c>
      <c r="L16" s="312">
        <v>44347</v>
      </c>
      <c r="M16" s="313">
        <f t="shared" si="0"/>
        <v>4.2857142857142856</v>
      </c>
      <c r="N16" s="609"/>
      <c r="O16" s="610"/>
      <c r="P16" s="416"/>
      <c r="Q16" s="383" t="s">
        <v>322</v>
      </c>
      <c r="R16" s="384"/>
      <c r="S16" s="385">
        <f t="shared" si="1"/>
        <v>-6331</v>
      </c>
      <c r="T16" s="383" t="s">
        <v>322</v>
      </c>
      <c r="U16" s="384"/>
      <c r="V16" s="385">
        <f t="shared" si="2"/>
        <v>-6331</v>
      </c>
      <c r="W16" s="383" t="s">
        <v>322</v>
      </c>
      <c r="X16" s="384"/>
      <c r="Y16" s="386">
        <f t="shared" si="3"/>
        <v>-6331</v>
      </c>
    </row>
    <row r="17" spans="1:25" s="468" customFormat="1" ht="65.099999999999994" customHeight="1" x14ac:dyDescent="0.2">
      <c r="A17" s="578">
        <v>2</v>
      </c>
      <c r="B17" s="621" t="s">
        <v>114</v>
      </c>
      <c r="C17" s="650" t="s">
        <v>136</v>
      </c>
      <c r="D17" s="555" t="s">
        <v>266</v>
      </c>
      <c r="E17" s="555" t="s">
        <v>267</v>
      </c>
      <c r="F17" s="564" t="s">
        <v>358</v>
      </c>
      <c r="G17" s="314" t="s">
        <v>173</v>
      </c>
      <c r="H17" s="327" t="s">
        <v>169</v>
      </c>
      <c r="I17" s="461" t="s">
        <v>170</v>
      </c>
      <c r="J17" s="461">
        <v>1</v>
      </c>
      <c r="K17" s="315">
        <v>44044</v>
      </c>
      <c r="L17" s="315">
        <v>44255</v>
      </c>
      <c r="M17" s="316">
        <f t="shared" si="0"/>
        <v>30.142857142857142</v>
      </c>
      <c r="N17" s="605" t="s">
        <v>87</v>
      </c>
      <c r="O17" s="606"/>
      <c r="P17" s="414"/>
      <c r="Q17" s="375" t="s">
        <v>322</v>
      </c>
      <c r="R17" s="376"/>
      <c r="S17" s="377">
        <f t="shared" si="1"/>
        <v>-6292</v>
      </c>
      <c r="T17" s="375" t="s">
        <v>322</v>
      </c>
      <c r="U17" s="376"/>
      <c r="V17" s="377">
        <f t="shared" si="2"/>
        <v>-6292</v>
      </c>
      <c r="W17" s="375" t="s">
        <v>322</v>
      </c>
      <c r="X17" s="376"/>
      <c r="Y17" s="378">
        <f t="shared" si="3"/>
        <v>-6292</v>
      </c>
    </row>
    <row r="18" spans="1:25" s="468" customFormat="1" ht="65.099999999999994" customHeight="1" x14ac:dyDescent="0.2">
      <c r="A18" s="579"/>
      <c r="B18" s="615"/>
      <c r="C18" s="577"/>
      <c r="D18" s="563"/>
      <c r="E18" s="563"/>
      <c r="F18" s="565"/>
      <c r="G18" s="307" t="s">
        <v>174</v>
      </c>
      <c r="H18" s="303" t="s">
        <v>169</v>
      </c>
      <c r="I18" s="462" t="s">
        <v>170</v>
      </c>
      <c r="J18" s="462">
        <v>1</v>
      </c>
      <c r="K18" s="308">
        <v>44256</v>
      </c>
      <c r="L18" s="308">
        <v>44316</v>
      </c>
      <c r="M18" s="309">
        <f t="shared" si="0"/>
        <v>8.5714285714285712</v>
      </c>
      <c r="N18" s="607"/>
      <c r="O18" s="608"/>
      <c r="P18" s="415"/>
      <c r="Q18" s="379" t="s">
        <v>322</v>
      </c>
      <c r="R18" s="380"/>
      <c r="S18" s="381">
        <f t="shared" si="1"/>
        <v>-6322.2857142857147</v>
      </c>
      <c r="T18" s="379" t="s">
        <v>322</v>
      </c>
      <c r="U18" s="380"/>
      <c r="V18" s="381">
        <f t="shared" si="2"/>
        <v>-6322.2857142857147</v>
      </c>
      <c r="W18" s="379" t="s">
        <v>322</v>
      </c>
      <c r="X18" s="380"/>
      <c r="Y18" s="382">
        <f t="shared" si="3"/>
        <v>-6322.2857142857147</v>
      </c>
    </row>
    <row r="19" spans="1:25" s="468" customFormat="1" ht="65.099999999999994" customHeight="1" thickBot="1" x14ac:dyDescent="0.25">
      <c r="A19" s="580"/>
      <c r="B19" s="556"/>
      <c r="C19" s="558"/>
      <c r="D19" s="556"/>
      <c r="E19" s="556"/>
      <c r="F19" s="566"/>
      <c r="G19" s="310" t="s">
        <v>175</v>
      </c>
      <c r="H19" s="311" t="s">
        <v>169</v>
      </c>
      <c r="I19" s="463" t="s">
        <v>170</v>
      </c>
      <c r="J19" s="463">
        <v>1</v>
      </c>
      <c r="K19" s="312">
        <v>44317</v>
      </c>
      <c r="L19" s="312">
        <v>44347</v>
      </c>
      <c r="M19" s="313">
        <f t="shared" si="0"/>
        <v>4.2857142857142856</v>
      </c>
      <c r="N19" s="609"/>
      <c r="O19" s="610"/>
      <c r="P19" s="416"/>
      <c r="Q19" s="383" t="s">
        <v>322</v>
      </c>
      <c r="R19" s="384"/>
      <c r="S19" s="385">
        <f t="shared" si="1"/>
        <v>-6331</v>
      </c>
      <c r="T19" s="383" t="s">
        <v>322</v>
      </c>
      <c r="U19" s="384"/>
      <c r="V19" s="385">
        <f t="shared" si="2"/>
        <v>-6331</v>
      </c>
      <c r="W19" s="383" t="s">
        <v>322</v>
      </c>
      <c r="X19" s="384"/>
      <c r="Y19" s="386">
        <f t="shared" si="3"/>
        <v>-6331</v>
      </c>
    </row>
    <row r="20" spans="1:25" s="468" customFormat="1" ht="65.099999999999994" customHeight="1" x14ac:dyDescent="0.2">
      <c r="A20" s="578">
        <v>3</v>
      </c>
      <c r="B20" s="621" t="s">
        <v>115</v>
      </c>
      <c r="C20" s="557" t="s">
        <v>137</v>
      </c>
      <c r="D20" s="555" t="s">
        <v>268</v>
      </c>
      <c r="E20" s="555" t="s">
        <v>269</v>
      </c>
      <c r="F20" s="564" t="s">
        <v>176</v>
      </c>
      <c r="G20" s="314" t="s">
        <v>177</v>
      </c>
      <c r="H20" s="327" t="s">
        <v>169</v>
      </c>
      <c r="I20" s="461" t="s">
        <v>170</v>
      </c>
      <c r="J20" s="317">
        <v>1</v>
      </c>
      <c r="K20" s="315">
        <v>44042</v>
      </c>
      <c r="L20" s="315">
        <v>44104</v>
      </c>
      <c r="M20" s="316">
        <f t="shared" si="0"/>
        <v>8.8571428571428577</v>
      </c>
      <c r="N20" s="605" t="s">
        <v>87</v>
      </c>
      <c r="O20" s="606"/>
      <c r="P20" s="414"/>
      <c r="Q20" s="375" t="s">
        <v>322</v>
      </c>
      <c r="R20" s="376"/>
      <c r="S20" s="377">
        <f t="shared" si="1"/>
        <v>-6291.7142857142853</v>
      </c>
      <c r="T20" s="375" t="s">
        <v>322</v>
      </c>
      <c r="U20" s="376"/>
      <c r="V20" s="377">
        <f t="shared" si="2"/>
        <v>-6291.7142857142853</v>
      </c>
      <c r="W20" s="375" t="s">
        <v>322</v>
      </c>
      <c r="X20" s="376"/>
      <c r="Y20" s="378">
        <f t="shared" si="3"/>
        <v>-6291.7142857142853</v>
      </c>
    </row>
    <row r="21" spans="1:25" s="468" customFormat="1" ht="65.099999999999994" customHeight="1" thickBot="1" x14ac:dyDescent="0.25">
      <c r="A21" s="580"/>
      <c r="B21" s="616"/>
      <c r="C21" s="558"/>
      <c r="D21" s="556"/>
      <c r="E21" s="556"/>
      <c r="F21" s="566"/>
      <c r="G21" s="310" t="s">
        <v>178</v>
      </c>
      <c r="H21" s="311" t="s">
        <v>169</v>
      </c>
      <c r="I21" s="463" t="s">
        <v>170</v>
      </c>
      <c r="J21" s="321">
        <v>1</v>
      </c>
      <c r="K21" s="312">
        <v>44042</v>
      </c>
      <c r="L21" s="312">
        <v>44104</v>
      </c>
      <c r="M21" s="313">
        <f t="shared" si="0"/>
        <v>8.8571428571428577</v>
      </c>
      <c r="N21" s="609"/>
      <c r="O21" s="610"/>
      <c r="P21" s="416"/>
      <c r="Q21" s="383" t="s">
        <v>322</v>
      </c>
      <c r="R21" s="384"/>
      <c r="S21" s="385">
        <f t="shared" si="1"/>
        <v>-6291.7142857142853</v>
      </c>
      <c r="T21" s="383" t="s">
        <v>322</v>
      </c>
      <c r="U21" s="384"/>
      <c r="V21" s="385">
        <f t="shared" si="2"/>
        <v>-6291.7142857142853</v>
      </c>
      <c r="W21" s="383" t="s">
        <v>322</v>
      </c>
      <c r="X21" s="384"/>
      <c r="Y21" s="386">
        <f t="shared" si="3"/>
        <v>-6291.7142857142853</v>
      </c>
    </row>
    <row r="22" spans="1:25" s="468" customFormat="1" ht="69.75" customHeight="1" x14ac:dyDescent="0.2">
      <c r="A22" s="578">
        <v>4</v>
      </c>
      <c r="B22" s="621" t="s">
        <v>116</v>
      </c>
      <c r="C22" s="557" t="s">
        <v>138</v>
      </c>
      <c r="D22" s="555" t="s">
        <v>270</v>
      </c>
      <c r="E22" s="555" t="s">
        <v>271</v>
      </c>
      <c r="F22" s="461" t="s">
        <v>181</v>
      </c>
      <c r="G22" s="314" t="s">
        <v>179</v>
      </c>
      <c r="H22" s="327" t="s">
        <v>169</v>
      </c>
      <c r="I22" s="461" t="s">
        <v>170</v>
      </c>
      <c r="J22" s="461">
        <v>1</v>
      </c>
      <c r="K22" s="315">
        <v>44035</v>
      </c>
      <c r="L22" s="315">
        <v>44135</v>
      </c>
      <c r="M22" s="316">
        <f t="shared" ref="M22:M30" si="4">(L22-K22)/7</f>
        <v>14.285714285714286</v>
      </c>
      <c r="N22" s="599" t="s">
        <v>87</v>
      </c>
      <c r="O22" s="600"/>
      <c r="P22" s="414"/>
      <c r="Q22" s="375" t="s">
        <v>322</v>
      </c>
      <c r="R22" s="376"/>
      <c r="S22" s="377">
        <f t="shared" si="1"/>
        <v>-6290.7142857142853</v>
      </c>
      <c r="T22" s="375" t="s">
        <v>322</v>
      </c>
      <c r="U22" s="376"/>
      <c r="V22" s="377">
        <f t="shared" si="2"/>
        <v>-6290.7142857142853</v>
      </c>
      <c r="W22" s="375" t="s">
        <v>322</v>
      </c>
      <c r="X22" s="376"/>
      <c r="Y22" s="378">
        <f t="shared" si="3"/>
        <v>-6290.7142857142853</v>
      </c>
    </row>
    <row r="23" spans="1:25" s="468" customFormat="1" ht="69.75" customHeight="1" x14ac:dyDescent="0.2">
      <c r="A23" s="579"/>
      <c r="B23" s="615"/>
      <c r="C23" s="577"/>
      <c r="D23" s="563"/>
      <c r="E23" s="563"/>
      <c r="F23" s="565" t="s">
        <v>180</v>
      </c>
      <c r="G23" s="307" t="s">
        <v>182</v>
      </c>
      <c r="H23" s="303" t="s">
        <v>169</v>
      </c>
      <c r="I23" s="462" t="s">
        <v>170</v>
      </c>
      <c r="J23" s="462">
        <v>1</v>
      </c>
      <c r="K23" s="308">
        <v>44035</v>
      </c>
      <c r="L23" s="308">
        <v>44165</v>
      </c>
      <c r="M23" s="309">
        <f t="shared" si="4"/>
        <v>18.571428571428573</v>
      </c>
      <c r="N23" s="601" t="s">
        <v>307</v>
      </c>
      <c r="O23" s="602"/>
      <c r="P23" s="415"/>
      <c r="Q23" s="379" t="s">
        <v>322</v>
      </c>
      <c r="R23" s="380"/>
      <c r="S23" s="381">
        <f t="shared" si="1"/>
        <v>-6290.7142857142853</v>
      </c>
      <c r="T23" s="379" t="s">
        <v>322</v>
      </c>
      <c r="U23" s="380"/>
      <c r="V23" s="381">
        <f t="shared" si="2"/>
        <v>-6290.7142857142853</v>
      </c>
      <c r="W23" s="379" t="s">
        <v>322</v>
      </c>
      <c r="X23" s="380"/>
      <c r="Y23" s="382">
        <f t="shared" si="3"/>
        <v>-6290.7142857142853</v>
      </c>
    </row>
    <row r="24" spans="1:25" s="468" customFormat="1" ht="65.099999999999994" customHeight="1" x14ac:dyDescent="0.2">
      <c r="A24" s="579"/>
      <c r="B24" s="615"/>
      <c r="C24" s="577"/>
      <c r="D24" s="563"/>
      <c r="E24" s="563"/>
      <c r="F24" s="565"/>
      <c r="G24" s="307" t="s">
        <v>183</v>
      </c>
      <c r="H24" s="303" t="s">
        <v>169</v>
      </c>
      <c r="I24" s="462" t="s">
        <v>170</v>
      </c>
      <c r="J24" s="462">
        <v>1</v>
      </c>
      <c r="K24" s="308">
        <v>44035</v>
      </c>
      <c r="L24" s="308">
        <v>44255</v>
      </c>
      <c r="M24" s="309">
        <f t="shared" si="4"/>
        <v>31.428571428571427</v>
      </c>
      <c r="N24" s="601"/>
      <c r="O24" s="602"/>
      <c r="P24" s="415"/>
      <c r="Q24" s="379" t="s">
        <v>322</v>
      </c>
      <c r="R24" s="380"/>
      <c r="S24" s="381">
        <f t="shared" si="1"/>
        <v>-6290.7142857142853</v>
      </c>
      <c r="T24" s="379" t="s">
        <v>322</v>
      </c>
      <c r="U24" s="380"/>
      <c r="V24" s="381">
        <f t="shared" si="2"/>
        <v>-6290.7142857142853</v>
      </c>
      <c r="W24" s="379" t="s">
        <v>322</v>
      </c>
      <c r="X24" s="380"/>
      <c r="Y24" s="382">
        <f t="shared" si="3"/>
        <v>-6290.7142857142853</v>
      </c>
    </row>
    <row r="25" spans="1:25" s="468" customFormat="1" ht="65.099999999999994" customHeight="1" thickBot="1" x14ac:dyDescent="0.25">
      <c r="A25" s="580"/>
      <c r="B25" s="556"/>
      <c r="C25" s="558"/>
      <c r="D25" s="556"/>
      <c r="E25" s="556"/>
      <c r="F25" s="463" t="s">
        <v>185</v>
      </c>
      <c r="G25" s="310" t="s">
        <v>184</v>
      </c>
      <c r="H25" s="311" t="s">
        <v>169</v>
      </c>
      <c r="I25" s="463" t="s">
        <v>170</v>
      </c>
      <c r="J25" s="463">
        <v>1</v>
      </c>
      <c r="K25" s="312">
        <v>44035</v>
      </c>
      <c r="L25" s="312">
        <v>44196</v>
      </c>
      <c r="M25" s="313">
        <f t="shared" si="4"/>
        <v>23</v>
      </c>
      <c r="N25" s="603" t="s">
        <v>87</v>
      </c>
      <c r="O25" s="604"/>
      <c r="P25" s="416"/>
      <c r="Q25" s="383" t="s">
        <v>322</v>
      </c>
      <c r="R25" s="384"/>
      <c r="S25" s="385">
        <f t="shared" si="1"/>
        <v>-6290.7142857142853</v>
      </c>
      <c r="T25" s="383" t="s">
        <v>322</v>
      </c>
      <c r="U25" s="384"/>
      <c r="V25" s="385">
        <f t="shared" si="2"/>
        <v>-6290.7142857142853</v>
      </c>
      <c r="W25" s="383" t="s">
        <v>322</v>
      </c>
      <c r="X25" s="384"/>
      <c r="Y25" s="386">
        <f t="shared" si="3"/>
        <v>-6290.7142857142853</v>
      </c>
    </row>
    <row r="26" spans="1:25" s="468" customFormat="1" ht="65.099999999999994" customHeight="1" x14ac:dyDescent="0.2">
      <c r="A26" s="578">
        <v>5</v>
      </c>
      <c r="B26" s="621" t="s">
        <v>117</v>
      </c>
      <c r="C26" s="557" t="s">
        <v>139</v>
      </c>
      <c r="D26" s="555" t="s">
        <v>272</v>
      </c>
      <c r="E26" s="555" t="s">
        <v>273</v>
      </c>
      <c r="F26" s="564" t="s">
        <v>186</v>
      </c>
      <c r="G26" s="314" t="s">
        <v>187</v>
      </c>
      <c r="H26" s="327" t="s">
        <v>169</v>
      </c>
      <c r="I26" s="461" t="s">
        <v>170</v>
      </c>
      <c r="J26" s="461">
        <v>1</v>
      </c>
      <c r="K26" s="315">
        <v>44044</v>
      </c>
      <c r="L26" s="315">
        <v>44255</v>
      </c>
      <c r="M26" s="316">
        <f t="shared" si="4"/>
        <v>30.142857142857142</v>
      </c>
      <c r="N26" s="599" t="s">
        <v>87</v>
      </c>
      <c r="O26" s="600"/>
      <c r="P26" s="414"/>
      <c r="Q26" s="375" t="s">
        <v>322</v>
      </c>
      <c r="R26" s="376"/>
      <c r="S26" s="377">
        <f t="shared" si="1"/>
        <v>-6292</v>
      </c>
      <c r="T26" s="375" t="s">
        <v>322</v>
      </c>
      <c r="U26" s="376"/>
      <c r="V26" s="377">
        <f t="shared" si="2"/>
        <v>-6292</v>
      </c>
      <c r="W26" s="375" t="s">
        <v>322</v>
      </c>
      <c r="X26" s="376"/>
      <c r="Y26" s="378">
        <f t="shared" si="3"/>
        <v>-6292</v>
      </c>
    </row>
    <row r="27" spans="1:25" s="468" customFormat="1" ht="65.099999999999994" customHeight="1" x14ac:dyDescent="0.2">
      <c r="A27" s="579"/>
      <c r="B27" s="615"/>
      <c r="C27" s="577"/>
      <c r="D27" s="563"/>
      <c r="E27" s="563"/>
      <c r="F27" s="565"/>
      <c r="G27" s="307" t="s">
        <v>188</v>
      </c>
      <c r="H27" s="303" t="s">
        <v>169</v>
      </c>
      <c r="I27" s="462" t="s">
        <v>170</v>
      </c>
      <c r="J27" s="462">
        <v>1</v>
      </c>
      <c r="K27" s="308">
        <v>44256</v>
      </c>
      <c r="L27" s="308">
        <v>44316</v>
      </c>
      <c r="M27" s="309">
        <f t="shared" si="4"/>
        <v>8.5714285714285712</v>
      </c>
      <c r="N27" s="601"/>
      <c r="O27" s="602"/>
      <c r="P27" s="415"/>
      <c r="Q27" s="379" t="s">
        <v>322</v>
      </c>
      <c r="R27" s="380"/>
      <c r="S27" s="381">
        <f t="shared" si="1"/>
        <v>-6322.2857142857147</v>
      </c>
      <c r="T27" s="379" t="s">
        <v>322</v>
      </c>
      <c r="U27" s="380"/>
      <c r="V27" s="381">
        <f t="shared" si="2"/>
        <v>-6322.2857142857147</v>
      </c>
      <c r="W27" s="379" t="s">
        <v>322</v>
      </c>
      <c r="X27" s="380"/>
      <c r="Y27" s="382">
        <f t="shared" si="3"/>
        <v>-6322.2857142857147</v>
      </c>
    </row>
    <row r="28" spans="1:25" s="468" customFormat="1" ht="65.099999999999994" customHeight="1" x14ac:dyDescent="0.2">
      <c r="A28" s="579"/>
      <c r="B28" s="615"/>
      <c r="C28" s="577"/>
      <c r="D28" s="563"/>
      <c r="E28" s="563"/>
      <c r="F28" s="565"/>
      <c r="G28" s="307" t="s">
        <v>189</v>
      </c>
      <c r="H28" s="303" t="s">
        <v>169</v>
      </c>
      <c r="I28" s="462" t="s">
        <v>170</v>
      </c>
      <c r="J28" s="462">
        <v>1</v>
      </c>
      <c r="K28" s="308">
        <v>44317</v>
      </c>
      <c r="L28" s="308">
        <v>44347</v>
      </c>
      <c r="M28" s="309">
        <f t="shared" si="4"/>
        <v>4.2857142857142856</v>
      </c>
      <c r="N28" s="601"/>
      <c r="O28" s="602"/>
      <c r="P28" s="415"/>
      <c r="Q28" s="379" t="s">
        <v>322</v>
      </c>
      <c r="R28" s="380"/>
      <c r="S28" s="381">
        <f t="shared" si="1"/>
        <v>-6331</v>
      </c>
      <c r="T28" s="379" t="s">
        <v>322</v>
      </c>
      <c r="U28" s="380"/>
      <c r="V28" s="381">
        <f t="shared" si="2"/>
        <v>-6331</v>
      </c>
      <c r="W28" s="379" t="s">
        <v>322</v>
      </c>
      <c r="X28" s="380"/>
      <c r="Y28" s="382">
        <f t="shared" si="3"/>
        <v>-6331</v>
      </c>
    </row>
    <row r="29" spans="1:25" s="468" customFormat="1" ht="65.099999999999994" customHeight="1" x14ac:dyDescent="0.2">
      <c r="A29" s="579"/>
      <c r="B29" s="615"/>
      <c r="C29" s="577"/>
      <c r="D29" s="563"/>
      <c r="E29" s="563"/>
      <c r="F29" s="565" t="s">
        <v>190</v>
      </c>
      <c r="G29" s="307" t="s">
        <v>191</v>
      </c>
      <c r="H29" s="303" t="s">
        <v>169</v>
      </c>
      <c r="I29" s="462" t="s">
        <v>170</v>
      </c>
      <c r="J29" s="320">
        <v>3</v>
      </c>
      <c r="K29" s="308">
        <v>44105</v>
      </c>
      <c r="L29" s="308">
        <v>44316</v>
      </c>
      <c r="M29" s="309">
        <f t="shared" si="4"/>
        <v>30.142857142857142</v>
      </c>
      <c r="N29" s="601"/>
      <c r="O29" s="602"/>
      <c r="P29" s="415"/>
      <c r="Q29" s="379" t="s">
        <v>322</v>
      </c>
      <c r="R29" s="380"/>
      <c r="S29" s="381">
        <f t="shared" si="1"/>
        <v>-6300.7142857142853</v>
      </c>
      <c r="T29" s="379" t="s">
        <v>322</v>
      </c>
      <c r="U29" s="380"/>
      <c r="V29" s="381">
        <f t="shared" si="2"/>
        <v>-6300.7142857142853</v>
      </c>
      <c r="W29" s="379" t="s">
        <v>322</v>
      </c>
      <c r="X29" s="380"/>
      <c r="Y29" s="382">
        <f t="shared" si="3"/>
        <v>-6300.7142857142853</v>
      </c>
    </row>
    <row r="30" spans="1:25" s="468" customFormat="1" ht="65.099999999999994" customHeight="1" thickBot="1" x14ac:dyDescent="0.25">
      <c r="A30" s="580"/>
      <c r="B30" s="616"/>
      <c r="C30" s="558"/>
      <c r="D30" s="556"/>
      <c r="E30" s="556"/>
      <c r="F30" s="566"/>
      <c r="G30" s="310" t="s">
        <v>192</v>
      </c>
      <c r="H30" s="311" t="s">
        <v>169</v>
      </c>
      <c r="I30" s="463" t="s">
        <v>170</v>
      </c>
      <c r="J30" s="321">
        <v>3</v>
      </c>
      <c r="K30" s="312">
        <v>44105</v>
      </c>
      <c r="L30" s="312">
        <v>44316</v>
      </c>
      <c r="M30" s="313">
        <f t="shared" si="4"/>
        <v>30.142857142857142</v>
      </c>
      <c r="N30" s="603"/>
      <c r="O30" s="604"/>
      <c r="P30" s="416"/>
      <c r="Q30" s="383" t="s">
        <v>322</v>
      </c>
      <c r="R30" s="384"/>
      <c r="S30" s="385">
        <f t="shared" si="1"/>
        <v>-6300.7142857142853</v>
      </c>
      <c r="T30" s="383" t="s">
        <v>322</v>
      </c>
      <c r="U30" s="384"/>
      <c r="V30" s="385">
        <f t="shared" si="2"/>
        <v>-6300.7142857142853</v>
      </c>
      <c r="W30" s="383" t="s">
        <v>322</v>
      </c>
      <c r="X30" s="384"/>
      <c r="Y30" s="386">
        <f t="shared" si="3"/>
        <v>-6300.7142857142853</v>
      </c>
    </row>
    <row r="31" spans="1:25" s="468" customFormat="1" ht="65.099999999999994" customHeight="1" x14ac:dyDescent="0.2">
      <c r="A31" s="578">
        <v>6</v>
      </c>
      <c r="B31" s="621" t="s">
        <v>118</v>
      </c>
      <c r="C31" s="557" t="s">
        <v>140</v>
      </c>
      <c r="D31" s="555" t="s">
        <v>274</v>
      </c>
      <c r="E31" s="555" t="s">
        <v>275</v>
      </c>
      <c r="F31" s="724" t="s">
        <v>193</v>
      </c>
      <c r="G31" s="314" t="s">
        <v>194</v>
      </c>
      <c r="H31" s="324" t="s">
        <v>195</v>
      </c>
      <c r="I31" s="461" t="s">
        <v>170</v>
      </c>
      <c r="J31" s="461">
        <v>1</v>
      </c>
      <c r="K31" s="315">
        <v>44039</v>
      </c>
      <c r="L31" s="315">
        <v>44104</v>
      </c>
      <c r="M31" s="316">
        <f t="shared" ref="M31:M39" si="5">(L31-K31)/7</f>
        <v>9.2857142857142865</v>
      </c>
      <c r="N31" s="599" t="s">
        <v>87</v>
      </c>
      <c r="O31" s="600"/>
      <c r="P31" s="414"/>
      <c r="Q31" s="375" t="s">
        <v>322</v>
      </c>
      <c r="R31" s="376"/>
      <c r="S31" s="377">
        <f t="shared" si="1"/>
        <v>-6291.2857142857147</v>
      </c>
      <c r="T31" s="375" t="s">
        <v>322</v>
      </c>
      <c r="U31" s="376"/>
      <c r="V31" s="377">
        <f t="shared" si="2"/>
        <v>-6291.2857142857147</v>
      </c>
      <c r="W31" s="375" t="s">
        <v>322</v>
      </c>
      <c r="X31" s="376"/>
      <c r="Y31" s="378">
        <f t="shared" si="3"/>
        <v>-6291.2857142857147</v>
      </c>
    </row>
    <row r="32" spans="1:25" s="468" customFormat="1" ht="65.099999999999994" customHeight="1" x14ac:dyDescent="0.2">
      <c r="A32" s="579"/>
      <c r="B32" s="563"/>
      <c r="C32" s="577"/>
      <c r="D32" s="563"/>
      <c r="E32" s="563"/>
      <c r="F32" s="725"/>
      <c r="G32" s="307" t="s">
        <v>196</v>
      </c>
      <c r="H32" s="318" t="s">
        <v>195</v>
      </c>
      <c r="I32" s="462" t="s">
        <v>170</v>
      </c>
      <c r="J32" s="322">
        <v>1</v>
      </c>
      <c r="K32" s="308">
        <v>44039</v>
      </c>
      <c r="L32" s="308">
        <v>44104</v>
      </c>
      <c r="M32" s="309">
        <f t="shared" si="5"/>
        <v>9.2857142857142865</v>
      </c>
      <c r="N32" s="601"/>
      <c r="O32" s="602"/>
      <c r="P32" s="415"/>
      <c r="Q32" s="379" t="s">
        <v>322</v>
      </c>
      <c r="R32" s="380"/>
      <c r="S32" s="381">
        <f t="shared" si="1"/>
        <v>-6291.2857142857147</v>
      </c>
      <c r="T32" s="379" t="s">
        <v>322</v>
      </c>
      <c r="U32" s="380"/>
      <c r="V32" s="381">
        <f t="shared" si="2"/>
        <v>-6291.2857142857147</v>
      </c>
      <c r="W32" s="379" t="s">
        <v>322</v>
      </c>
      <c r="X32" s="380"/>
      <c r="Y32" s="382">
        <f t="shared" si="3"/>
        <v>-6291.2857142857147</v>
      </c>
    </row>
    <row r="33" spans="1:25" s="468" customFormat="1" ht="65.099999999999994" customHeight="1" thickBot="1" x14ac:dyDescent="0.25">
      <c r="A33" s="580"/>
      <c r="B33" s="556"/>
      <c r="C33" s="558"/>
      <c r="D33" s="556"/>
      <c r="E33" s="556"/>
      <c r="F33" s="726"/>
      <c r="G33" s="310" t="s">
        <v>197</v>
      </c>
      <c r="H33" s="311" t="s">
        <v>169</v>
      </c>
      <c r="I33" s="463" t="s">
        <v>170</v>
      </c>
      <c r="J33" s="463">
        <v>1</v>
      </c>
      <c r="K33" s="312">
        <v>44039</v>
      </c>
      <c r="L33" s="312">
        <v>44255</v>
      </c>
      <c r="M33" s="313">
        <f t="shared" si="5"/>
        <v>30.857142857142858</v>
      </c>
      <c r="N33" s="603"/>
      <c r="O33" s="604"/>
      <c r="P33" s="416"/>
      <c r="Q33" s="383" t="s">
        <v>322</v>
      </c>
      <c r="R33" s="384"/>
      <c r="S33" s="385">
        <f t="shared" si="1"/>
        <v>-6291.2857142857147</v>
      </c>
      <c r="T33" s="383" t="s">
        <v>322</v>
      </c>
      <c r="U33" s="384"/>
      <c r="V33" s="385">
        <f t="shared" si="2"/>
        <v>-6291.2857142857147</v>
      </c>
      <c r="W33" s="383" t="s">
        <v>322</v>
      </c>
      <c r="X33" s="384"/>
      <c r="Y33" s="386">
        <f t="shared" si="3"/>
        <v>-6291.2857142857147</v>
      </c>
    </row>
    <row r="34" spans="1:25" s="468" customFormat="1" ht="65.099999999999994" customHeight="1" x14ac:dyDescent="0.2">
      <c r="A34" s="578">
        <v>7</v>
      </c>
      <c r="B34" s="622" t="s">
        <v>119</v>
      </c>
      <c r="C34" s="557" t="s">
        <v>141</v>
      </c>
      <c r="D34" s="555" t="s">
        <v>276</v>
      </c>
      <c r="E34" s="555" t="s">
        <v>277</v>
      </c>
      <c r="F34" s="564" t="s">
        <v>378</v>
      </c>
      <c r="G34" s="323" t="s">
        <v>379</v>
      </c>
      <c r="H34" s="324" t="s">
        <v>195</v>
      </c>
      <c r="I34" s="461" t="s">
        <v>170</v>
      </c>
      <c r="J34" s="461">
        <v>1</v>
      </c>
      <c r="K34" s="315">
        <v>44044</v>
      </c>
      <c r="L34" s="315">
        <v>44286</v>
      </c>
      <c r="M34" s="316">
        <f t="shared" si="5"/>
        <v>34.571428571428569</v>
      </c>
      <c r="N34" s="605" t="s">
        <v>453</v>
      </c>
      <c r="O34" s="606"/>
      <c r="P34" s="414"/>
      <c r="Q34" s="375" t="s">
        <v>322</v>
      </c>
      <c r="R34" s="376"/>
      <c r="S34" s="377">
        <f t="shared" si="1"/>
        <v>-6292</v>
      </c>
      <c r="T34" s="375" t="s">
        <v>322</v>
      </c>
      <c r="U34" s="376"/>
      <c r="V34" s="377">
        <f t="shared" si="2"/>
        <v>-6292</v>
      </c>
      <c r="W34" s="375" t="s">
        <v>322</v>
      </c>
      <c r="X34" s="376"/>
      <c r="Y34" s="378">
        <f t="shared" si="3"/>
        <v>-6292</v>
      </c>
    </row>
    <row r="35" spans="1:25" s="468" customFormat="1" ht="72.75" customHeight="1" x14ac:dyDescent="0.2">
      <c r="A35" s="579"/>
      <c r="B35" s="623"/>
      <c r="C35" s="577"/>
      <c r="D35" s="563"/>
      <c r="E35" s="563"/>
      <c r="F35" s="565"/>
      <c r="G35" s="325" t="s">
        <v>381</v>
      </c>
      <c r="H35" s="318" t="s">
        <v>195</v>
      </c>
      <c r="I35" s="462" t="s">
        <v>170</v>
      </c>
      <c r="J35" s="462">
        <v>1</v>
      </c>
      <c r="K35" s="308">
        <v>44044</v>
      </c>
      <c r="L35" s="308">
        <v>44316</v>
      </c>
      <c r="M35" s="309">
        <f t="shared" si="5"/>
        <v>38.857142857142854</v>
      </c>
      <c r="N35" s="607"/>
      <c r="O35" s="608"/>
      <c r="P35" s="415"/>
      <c r="Q35" s="379" t="s">
        <v>322</v>
      </c>
      <c r="R35" s="380"/>
      <c r="S35" s="381">
        <f>(R35-K35)/7</f>
        <v>-6292</v>
      </c>
      <c r="T35" s="379" t="s">
        <v>322</v>
      </c>
      <c r="U35" s="380"/>
      <c r="V35" s="381">
        <f t="shared" si="2"/>
        <v>-6292</v>
      </c>
      <c r="W35" s="379" t="s">
        <v>322</v>
      </c>
      <c r="X35" s="380"/>
      <c r="Y35" s="382">
        <f t="shared" si="3"/>
        <v>-6292</v>
      </c>
    </row>
    <row r="36" spans="1:25" s="468" customFormat="1" ht="72.75" customHeight="1" x14ac:dyDescent="0.2">
      <c r="A36" s="579"/>
      <c r="B36" s="626"/>
      <c r="C36" s="577"/>
      <c r="D36" s="563"/>
      <c r="E36" s="563"/>
      <c r="F36" s="565"/>
      <c r="G36" s="325" t="s">
        <v>382</v>
      </c>
      <c r="H36" s="318" t="s">
        <v>195</v>
      </c>
      <c r="I36" s="462" t="s">
        <v>170</v>
      </c>
      <c r="J36" s="462">
        <v>1</v>
      </c>
      <c r="K36" s="308">
        <v>44198</v>
      </c>
      <c r="L36" s="308">
        <v>44347</v>
      </c>
      <c r="M36" s="309">
        <f t="shared" si="5"/>
        <v>21.285714285714285</v>
      </c>
      <c r="N36" s="607"/>
      <c r="O36" s="608"/>
      <c r="P36" s="415"/>
      <c r="Q36" s="379" t="s">
        <v>322</v>
      </c>
      <c r="R36" s="380"/>
      <c r="S36" s="381">
        <f t="shared" si="1"/>
        <v>-6314</v>
      </c>
      <c r="T36" s="379" t="s">
        <v>322</v>
      </c>
      <c r="U36" s="380"/>
      <c r="V36" s="381">
        <f t="shared" si="2"/>
        <v>-6314</v>
      </c>
      <c r="W36" s="379" t="s">
        <v>322</v>
      </c>
      <c r="X36" s="380"/>
      <c r="Y36" s="382">
        <f t="shared" si="3"/>
        <v>-6314</v>
      </c>
    </row>
    <row r="37" spans="1:25" s="468" customFormat="1" ht="52.5" customHeight="1" thickBot="1" x14ac:dyDescent="0.25">
      <c r="A37" s="580"/>
      <c r="B37" s="624"/>
      <c r="C37" s="558"/>
      <c r="D37" s="556"/>
      <c r="E37" s="556"/>
      <c r="F37" s="566"/>
      <c r="G37" s="310" t="s">
        <v>380</v>
      </c>
      <c r="H37" s="319" t="s">
        <v>195</v>
      </c>
      <c r="I37" s="463" t="s">
        <v>170</v>
      </c>
      <c r="J37" s="463">
        <v>1</v>
      </c>
      <c r="K37" s="312">
        <v>44287</v>
      </c>
      <c r="L37" s="312">
        <v>44377</v>
      </c>
      <c r="M37" s="313">
        <f t="shared" si="5"/>
        <v>12.857142857142858</v>
      </c>
      <c r="N37" s="609"/>
      <c r="O37" s="610"/>
      <c r="P37" s="416"/>
      <c r="Q37" s="383" t="s">
        <v>322</v>
      </c>
      <c r="R37" s="384"/>
      <c r="S37" s="385">
        <f t="shared" si="1"/>
        <v>-6326.7142857142853</v>
      </c>
      <c r="T37" s="383" t="s">
        <v>322</v>
      </c>
      <c r="U37" s="384"/>
      <c r="V37" s="385">
        <f t="shared" si="2"/>
        <v>-6326.7142857142853</v>
      </c>
      <c r="W37" s="383" t="s">
        <v>322</v>
      </c>
      <c r="X37" s="384"/>
      <c r="Y37" s="386">
        <f t="shared" si="3"/>
        <v>-6326.7142857142853</v>
      </c>
    </row>
    <row r="38" spans="1:25" s="468" customFormat="1" ht="73.5" customHeight="1" x14ac:dyDescent="0.2">
      <c r="A38" s="702">
        <v>8</v>
      </c>
      <c r="B38" s="635" t="s">
        <v>120</v>
      </c>
      <c r="C38" s="557" t="s">
        <v>142</v>
      </c>
      <c r="D38" s="555" t="s">
        <v>278</v>
      </c>
      <c r="E38" s="555" t="s">
        <v>279</v>
      </c>
      <c r="F38" s="461" t="s">
        <v>211</v>
      </c>
      <c r="G38" s="314" t="s">
        <v>198</v>
      </c>
      <c r="H38" s="327" t="s">
        <v>169</v>
      </c>
      <c r="I38" s="461" t="s">
        <v>170</v>
      </c>
      <c r="J38" s="461">
        <v>4</v>
      </c>
      <c r="K38" s="315">
        <v>44042</v>
      </c>
      <c r="L38" s="315">
        <v>44285</v>
      </c>
      <c r="M38" s="316">
        <f t="shared" si="5"/>
        <v>34.714285714285715</v>
      </c>
      <c r="N38" s="605" t="s">
        <v>87</v>
      </c>
      <c r="O38" s="606"/>
      <c r="P38" s="414"/>
      <c r="Q38" s="375" t="s">
        <v>322</v>
      </c>
      <c r="R38" s="376"/>
      <c r="S38" s="377">
        <f t="shared" si="1"/>
        <v>-6291.7142857142853</v>
      </c>
      <c r="T38" s="375" t="s">
        <v>322</v>
      </c>
      <c r="U38" s="376"/>
      <c r="V38" s="377">
        <f t="shared" si="2"/>
        <v>-6291.7142857142853</v>
      </c>
      <c r="W38" s="375" t="s">
        <v>322</v>
      </c>
      <c r="X38" s="376"/>
      <c r="Y38" s="378">
        <f t="shared" si="3"/>
        <v>-6291.7142857142853</v>
      </c>
    </row>
    <row r="39" spans="1:25" s="468" customFormat="1" ht="95.25" customHeight="1" x14ac:dyDescent="0.2">
      <c r="A39" s="703"/>
      <c r="B39" s="636"/>
      <c r="C39" s="577"/>
      <c r="D39" s="563"/>
      <c r="E39" s="563"/>
      <c r="F39" s="462" t="s">
        <v>204</v>
      </c>
      <c r="G39" s="307" t="s">
        <v>199</v>
      </c>
      <c r="H39" s="303" t="s">
        <v>169</v>
      </c>
      <c r="I39" s="462" t="s">
        <v>170</v>
      </c>
      <c r="J39" s="462">
        <v>1</v>
      </c>
      <c r="K39" s="308">
        <v>44042</v>
      </c>
      <c r="L39" s="308">
        <v>44104</v>
      </c>
      <c r="M39" s="309">
        <f t="shared" si="5"/>
        <v>8.8571428571428577</v>
      </c>
      <c r="N39" s="607"/>
      <c r="O39" s="608"/>
      <c r="P39" s="415"/>
      <c r="Q39" s="379" t="s">
        <v>322</v>
      </c>
      <c r="R39" s="380"/>
      <c r="S39" s="381">
        <f t="shared" si="1"/>
        <v>-6291.7142857142853</v>
      </c>
      <c r="T39" s="379" t="s">
        <v>322</v>
      </c>
      <c r="U39" s="380"/>
      <c r="V39" s="381">
        <f t="shared" si="2"/>
        <v>-6291.7142857142853</v>
      </c>
      <c r="W39" s="379" t="s">
        <v>322</v>
      </c>
      <c r="X39" s="380"/>
      <c r="Y39" s="382">
        <f t="shared" si="3"/>
        <v>-6291.7142857142853</v>
      </c>
    </row>
    <row r="40" spans="1:25" s="468" customFormat="1" ht="90" customHeight="1" thickBot="1" x14ac:dyDescent="0.25">
      <c r="A40" s="704"/>
      <c r="B40" s="637"/>
      <c r="C40" s="558"/>
      <c r="D40" s="556"/>
      <c r="E40" s="556"/>
      <c r="F40" s="453" t="s">
        <v>200</v>
      </c>
      <c r="G40" s="334" t="s">
        <v>201</v>
      </c>
      <c r="H40" s="311" t="s">
        <v>202</v>
      </c>
      <c r="I40" s="453" t="s">
        <v>203</v>
      </c>
      <c r="J40" s="453">
        <v>1</v>
      </c>
      <c r="K40" s="432">
        <v>44053</v>
      </c>
      <c r="L40" s="432">
        <v>44196</v>
      </c>
      <c r="M40" s="456">
        <v>20</v>
      </c>
      <c r="N40" s="609"/>
      <c r="O40" s="610"/>
      <c r="P40" s="416"/>
      <c r="Q40" s="383" t="s">
        <v>322</v>
      </c>
      <c r="R40" s="384"/>
      <c r="S40" s="385">
        <f t="shared" si="1"/>
        <v>-6293.2857142857147</v>
      </c>
      <c r="T40" s="383" t="s">
        <v>322</v>
      </c>
      <c r="U40" s="384"/>
      <c r="V40" s="385">
        <f t="shared" si="2"/>
        <v>-6293.2857142857147</v>
      </c>
      <c r="W40" s="383" t="s">
        <v>322</v>
      </c>
      <c r="X40" s="384"/>
      <c r="Y40" s="386">
        <f t="shared" si="3"/>
        <v>-6293.2857142857147</v>
      </c>
    </row>
    <row r="41" spans="1:25" s="468" customFormat="1" ht="99" customHeight="1" x14ac:dyDescent="0.2">
      <c r="A41" s="578">
        <v>9</v>
      </c>
      <c r="B41" s="705" t="s">
        <v>121</v>
      </c>
      <c r="C41" s="557" t="s">
        <v>143</v>
      </c>
      <c r="D41" s="555" t="s">
        <v>280</v>
      </c>
      <c r="E41" s="555" t="s">
        <v>281</v>
      </c>
      <c r="F41" s="461" t="s">
        <v>210</v>
      </c>
      <c r="G41" s="314" t="s">
        <v>205</v>
      </c>
      <c r="H41" s="327" t="s">
        <v>169</v>
      </c>
      <c r="I41" s="461" t="s">
        <v>170</v>
      </c>
      <c r="J41" s="461">
        <v>1</v>
      </c>
      <c r="K41" s="315">
        <v>44042</v>
      </c>
      <c r="L41" s="315">
        <v>44165</v>
      </c>
      <c r="M41" s="316">
        <f>(L41-K41)/7</f>
        <v>17.571428571428573</v>
      </c>
      <c r="N41" s="629" t="s">
        <v>87</v>
      </c>
      <c r="O41" s="630"/>
      <c r="P41" s="414"/>
      <c r="Q41" s="375" t="s">
        <v>322</v>
      </c>
      <c r="R41" s="376"/>
      <c r="S41" s="377">
        <f t="shared" si="1"/>
        <v>-6291.7142857142853</v>
      </c>
      <c r="T41" s="375" t="s">
        <v>322</v>
      </c>
      <c r="U41" s="376"/>
      <c r="V41" s="377">
        <f t="shared" si="2"/>
        <v>-6291.7142857142853</v>
      </c>
      <c r="W41" s="375" t="s">
        <v>322</v>
      </c>
      <c r="X41" s="376"/>
      <c r="Y41" s="378">
        <f t="shared" si="3"/>
        <v>-6291.7142857142853</v>
      </c>
    </row>
    <row r="42" spans="1:25" s="468" customFormat="1" ht="93.75" customHeight="1" x14ac:dyDescent="0.2">
      <c r="A42" s="579"/>
      <c r="B42" s="666"/>
      <c r="C42" s="577"/>
      <c r="D42" s="563"/>
      <c r="E42" s="563"/>
      <c r="F42" s="462" t="s">
        <v>208</v>
      </c>
      <c r="G42" s="307" t="s">
        <v>206</v>
      </c>
      <c r="H42" s="303" t="s">
        <v>169</v>
      </c>
      <c r="I42" s="462" t="s">
        <v>170</v>
      </c>
      <c r="J42" s="462">
        <v>1</v>
      </c>
      <c r="K42" s="308">
        <v>44042</v>
      </c>
      <c r="L42" s="308">
        <v>44165</v>
      </c>
      <c r="M42" s="309">
        <f>(L42-K42)/7</f>
        <v>17.571428571428573</v>
      </c>
      <c r="N42" s="631"/>
      <c r="O42" s="632"/>
      <c r="P42" s="415"/>
      <c r="Q42" s="379" t="s">
        <v>322</v>
      </c>
      <c r="R42" s="380"/>
      <c r="S42" s="381">
        <f t="shared" si="1"/>
        <v>-6291.7142857142853</v>
      </c>
      <c r="T42" s="379" t="s">
        <v>322</v>
      </c>
      <c r="U42" s="380"/>
      <c r="V42" s="381">
        <f t="shared" si="2"/>
        <v>-6291.7142857142853</v>
      </c>
      <c r="W42" s="379" t="s">
        <v>322</v>
      </c>
      <c r="X42" s="380"/>
      <c r="Y42" s="382">
        <f t="shared" si="3"/>
        <v>-6291.7142857142853</v>
      </c>
    </row>
    <row r="43" spans="1:25" s="468" customFormat="1" ht="65.099999999999994" customHeight="1" thickBot="1" x14ac:dyDescent="0.25">
      <c r="A43" s="580"/>
      <c r="B43" s="556"/>
      <c r="C43" s="558"/>
      <c r="D43" s="556"/>
      <c r="E43" s="556"/>
      <c r="F43" s="463" t="s">
        <v>209</v>
      </c>
      <c r="G43" s="310" t="s">
        <v>207</v>
      </c>
      <c r="H43" s="311" t="s">
        <v>169</v>
      </c>
      <c r="I43" s="463" t="s">
        <v>170</v>
      </c>
      <c r="J43" s="463">
        <v>1</v>
      </c>
      <c r="K43" s="312">
        <v>44042</v>
      </c>
      <c r="L43" s="312">
        <v>44165</v>
      </c>
      <c r="M43" s="313">
        <f>(L43-K43)/7</f>
        <v>17.571428571428573</v>
      </c>
      <c r="N43" s="633"/>
      <c r="O43" s="634"/>
      <c r="P43" s="416"/>
      <c r="Q43" s="383" t="s">
        <v>322</v>
      </c>
      <c r="R43" s="384"/>
      <c r="S43" s="385">
        <f t="shared" si="1"/>
        <v>-6291.7142857142853</v>
      </c>
      <c r="T43" s="383" t="s">
        <v>322</v>
      </c>
      <c r="U43" s="384"/>
      <c r="V43" s="385">
        <f t="shared" si="2"/>
        <v>-6291.7142857142853</v>
      </c>
      <c r="W43" s="383" t="s">
        <v>322</v>
      </c>
      <c r="X43" s="384"/>
      <c r="Y43" s="386">
        <f t="shared" si="3"/>
        <v>-6291.7142857142853</v>
      </c>
    </row>
    <row r="44" spans="1:25" s="468" customFormat="1" ht="75" customHeight="1" x14ac:dyDescent="0.2">
      <c r="A44" s="578">
        <v>10</v>
      </c>
      <c r="B44" s="625" t="s">
        <v>122</v>
      </c>
      <c r="C44" s="557" t="s">
        <v>144</v>
      </c>
      <c r="D44" s="555" t="s">
        <v>282</v>
      </c>
      <c r="E44" s="555" t="s">
        <v>283</v>
      </c>
      <c r="F44" s="721" t="s">
        <v>212</v>
      </c>
      <c r="G44" s="326" t="s">
        <v>213</v>
      </c>
      <c r="H44" s="327" t="s">
        <v>214</v>
      </c>
      <c r="I44" s="448" t="s">
        <v>215</v>
      </c>
      <c r="J44" s="448">
        <v>4</v>
      </c>
      <c r="K44" s="328">
        <v>44044</v>
      </c>
      <c r="L44" s="329">
        <v>44165</v>
      </c>
      <c r="M44" s="330">
        <f>+(L44-K44)/7</f>
        <v>17.285714285714285</v>
      </c>
      <c r="N44" s="629" t="s">
        <v>87</v>
      </c>
      <c r="O44" s="630"/>
      <c r="P44" s="414"/>
      <c r="Q44" s="375" t="s">
        <v>322</v>
      </c>
      <c r="R44" s="376"/>
      <c r="S44" s="377">
        <f t="shared" ref="S44:S73" si="6">(R44-K44)/7</f>
        <v>-6292</v>
      </c>
      <c r="T44" s="375" t="s">
        <v>322</v>
      </c>
      <c r="U44" s="376"/>
      <c r="V44" s="377">
        <f t="shared" si="2"/>
        <v>-6292</v>
      </c>
      <c r="W44" s="375" t="s">
        <v>322</v>
      </c>
      <c r="X44" s="376"/>
      <c r="Y44" s="378">
        <f t="shared" si="3"/>
        <v>-6292</v>
      </c>
    </row>
    <row r="45" spans="1:25" s="468" customFormat="1" ht="81" customHeight="1" x14ac:dyDescent="0.2">
      <c r="A45" s="579"/>
      <c r="B45" s="626"/>
      <c r="C45" s="577"/>
      <c r="D45" s="563"/>
      <c r="E45" s="563"/>
      <c r="F45" s="722"/>
      <c r="G45" s="331" t="s">
        <v>216</v>
      </c>
      <c r="H45" s="303" t="s">
        <v>214</v>
      </c>
      <c r="I45" s="449" t="s">
        <v>217</v>
      </c>
      <c r="J45" s="449">
        <v>1</v>
      </c>
      <c r="K45" s="332">
        <v>44165</v>
      </c>
      <c r="L45" s="332">
        <v>44316</v>
      </c>
      <c r="M45" s="333">
        <f t="shared" ref="M45:M52" si="7">+(L45-K45)/7</f>
        <v>21.571428571428573</v>
      </c>
      <c r="N45" s="631"/>
      <c r="O45" s="632"/>
      <c r="P45" s="415"/>
      <c r="Q45" s="379" t="s">
        <v>322</v>
      </c>
      <c r="R45" s="380"/>
      <c r="S45" s="381">
        <f t="shared" si="6"/>
        <v>-6309.2857142857147</v>
      </c>
      <c r="T45" s="379" t="s">
        <v>322</v>
      </c>
      <c r="U45" s="380"/>
      <c r="V45" s="381">
        <f t="shared" si="2"/>
        <v>-6309.2857142857147</v>
      </c>
      <c r="W45" s="379" t="s">
        <v>322</v>
      </c>
      <c r="X45" s="380"/>
      <c r="Y45" s="382">
        <f t="shared" si="3"/>
        <v>-6309.2857142857147</v>
      </c>
    </row>
    <row r="46" spans="1:25" s="468" customFormat="1" ht="72" customHeight="1" thickBot="1" x14ac:dyDescent="0.25">
      <c r="A46" s="580"/>
      <c r="B46" s="624"/>
      <c r="C46" s="558"/>
      <c r="D46" s="556"/>
      <c r="E46" s="556"/>
      <c r="F46" s="723"/>
      <c r="G46" s="334" t="s">
        <v>218</v>
      </c>
      <c r="H46" s="311" t="s">
        <v>214</v>
      </c>
      <c r="I46" s="453" t="s">
        <v>219</v>
      </c>
      <c r="J46" s="463">
        <v>2</v>
      </c>
      <c r="K46" s="335">
        <v>44317</v>
      </c>
      <c r="L46" s="335">
        <v>44347</v>
      </c>
      <c r="M46" s="336">
        <f t="shared" si="7"/>
        <v>4.2857142857142856</v>
      </c>
      <c r="N46" s="633"/>
      <c r="O46" s="634"/>
      <c r="P46" s="416"/>
      <c r="Q46" s="383" t="s">
        <v>322</v>
      </c>
      <c r="R46" s="384"/>
      <c r="S46" s="385">
        <f t="shared" si="6"/>
        <v>-6331</v>
      </c>
      <c r="T46" s="383" t="s">
        <v>322</v>
      </c>
      <c r="U46" s="384"/>
      <c r="V46" s="385">
        <f t="shared" si="2"/>
        <v>-6331</v>
      </c>
      <c r="W46" s="383" t="s">
        <v>322</v>
      </c>
      <c r="X46" s="384"/>
      <c r="Y46" s="386">
        <f t="shared" si="3"/>
        <v>-6331</v>
      </c>
    </row>
    <row r="47" spans="1:25" s="468" customFormat="1" ht="75" customHeight="1" x14ac:dyDescent="0.2">
      <c r="A47" s="578">
        <v>11</v>
      </c>
      <c r="B47" s="621" t="s">
        <v>123</v>
      </c>
      <c r="C47" s="557" t="s">
        <v>145</v>
      </c>
      <c r="D47" s="555" t="s">
        <v>282</v>
      </c>
      <c r="E47" s="555" t="s">
        <v>284</v>
      </c>
      <c r="F47" s="564" t="s">
        <v>212</v>
      </c>
      <c r="G47" s="326" t="s">
        <v>213</v>
      </c>
      <c r="H47" s="448" t="s">
        <v>214</v>
      </c>
      <c r="I47" s="448" t="s">
        <v>215</v>
      </c>
      <c r="J47" s="448">
        <v>4</v>
      </c>
      <c r="K47" s="328">
        <v>44044</v>
      </c>
      <c r="L47" s="329">
        <v>44165</v>
      </c>
      <c r="M47" s="330">
        <f t="shared" si="7"/>
        <v>17.285714285714285</v>
      </c>
      <c r="N47" s="709" t="s">
        <v>87</v>
      </c>
      <c r="O47" s="710"/>
      <c r="P47" s="414"/>
      <c r="Q47" s="375" t="s">
        <v>322</v>
      </c>
      <c r="R47" s="376"/>
      <c r="S47" s="377">
        <f t="shared" si="6"/>
        <v>-6292</v>
      </c>
      <c r="T47" s="375" t="s">
        <v>322</v>
      </c>
      <c r="U47" s="376"/>
      <c r="V47" s="377">
        <f t="shared" si="2"/>
        <v>-6292</v>
      </c>
      <c r="W47" s="375" t="s">
        <v>322</v>
      </c>
      <c r="X47" s="376"/>
      <c r="Y47" s="378">
        <f t="shared" si="3"/>
        <v>-6292</v>
      </c>
    </row>
    <row r="48" spans="1:25" s="468" customFormat="1" ht="65.099999999999994" customHeight="1" x14ac:dyDescent="0.2">
      <c r="A48" s="579"/>
      <c r="B48" s="563"/>
      <c r="C48" s="577"/>
      <c r="D48" s="563"/>
      <c r="E48" s="563"/>
      <c r="F48" s="565"/>
      <c r="G48" s="331" t="s">
        <v>216</v>
      </c>
      <c r="H48" s="449" t="s">
        <v>214</v>
      </c>
      <c r="I48" s="449" t="s">
        <v>217</v>
      </c>
      <c r="J48" s="449">
        <v>1</v>
      </c>
      <c r="K48" s="332">
        <v>44165</v>
      </c>
      <c r="L48" s="332">
        <v>44316</v>
      </c>
      <c r="M48" s="333">
        <f t="shared" si="7"/>
        <v>21.571428571428573</v>
      </c>
      <c r="N48" s="711"/>
      <c r="O48" s="712"/>
      <c r="P48" s="415"/>
      <c r="Q48" s="379" t="s">
        <v>322</v>
      </c>
      <c r="R48" s="380"/>
      <c r="S48" s="381">
        <f t="shared" si="6"/>
        <v>-6309.2857142857147</v>
      </c>
      <c r="T48" s="379" t="s">
        <v>322</v>
      </c>
      <c r="U48" s="380"/>
      <c r="V48" s="381">
        <f t="shared" si="2"/>
        <v>-6309.2857142857147</v>
      </c>
      <c r="W48" s="379" t="s">
        <v>322</v>
      </c>
      <c r="X48" s="380"/>
      <c r="Y48" s="382">
        <f t="shared" si="3"/>
        <v>-6309.2857142857147</v>
      </c>
    </row>
    <row r="49" spans="1:82" s="468" customFormat="1" ht="65.099999999999994" customHeight="1" thickBot="1" x14ac:dyDescent="0.25">
      <c r="A49" s="580"/>
      <c r="B49" s="556"/>
      <c r="C49" s="558"/>
      <c r="D49" s="556"/>
      <c r="E49" s="556"/>
      <c r="F49" s="566"/>
      <c r="G49" s="334" t="s">
        <v>218</v>
      </c>
      <c r="H49" s="453" t="s">
        <v>214</v>
      </c>
      <c r="I49" s="453" t="s">
        <v>219</v>
      </c>
      <c r="J49" s="463">
        <v>2</v>
      </c>
      <c r="K49" s="335">
        <v>44317</v>
      </c>
      <c r="L49" s="335">
        <v>44347</v>
      </c>
      <c r="M49" s="336">
        <f t="shared" si="7"/>
        <v>4.2857142857142856</v>
      </c>
      <c r="N49" s="713"/>
      <c r="O49" s="714"/>
      <c r="P49" s="416"/>
      <c r="Q49" s="383" t="s">
        <v>322</v>
      </c>
      <c r="R49" s="384"/>
      <c r="S49" s="385">
        <f t="shared" si="6"/>
        <v>-6331</v>
      </c>
      <c r="T49" s="383" t="s">
        <v>322</v>
      </c>
      <c r="U49" s="384"/>
      <c r="V49" s="385">
        <f t="shared" si="2"/>
        <v>-6331</v>
      </c>
      <c r="W49" s="383" t="s">
        <v>322</v>
      </c>
      <c r="X49" s="384"/>
      <c r="Y49" s="386">
        <f t="shared" si="3"/>
        <v>-6331</v>
      </c>
    </row>
    <row r="50" spans="1:82" s="470" customFormat="1" ht="81" customHeight="1" x14ac:dyDescent="0.2">
      <c r="A50" s="578">
        <v>12</v>
      </c>
      <c r="B50" s="621" t="s">
        <v>124</v>
      </c>
      <c r="C50" s="557" t="s">
        <v>146</v>
      </c>
      <c r="D50" s="555" t="s">
        <v>285</v>
      </c>
      <c r="E50" s="555" t="s">
        <v>286</v>
      </c>
      <c r="F50" s="706" t="s">
        <v>212</v>
      </c>
      <c r="G50" s="326" t="s">
        <v>213</v>
      </c>
      <c r="H50" s="448" t="s">
        <v>214</v>
      </c>
      <c r="I50" s="448" t="s">
        <v>215</v>
      </c>
      <c r="J50" s="448">
        <v>4</v>
      </c>
      <c r="K50" s="328">
        <v>44044</v>
      </c>
      <c r="L50" s="329">
        <v>44165</v>
      </c>
      <c r="M50" s="330">
        <f t="shared" si="7"/>
        <v>17.285714285714285</v>
      </c>
      <c r="N50" s="715" t="s">
        <v>87</v>
      </c>
      <c r="O50" s="716"/>
      <c r="P50" s="414"/>
      <c r="Q50" s="375" t="s">
        <v>322</v>
      </c>
      <c r="R50" s="376"/>
      <c r="S50" s="377">
        <f t="shared" si="6"/>
        <v>-6292</v>
      </c>
      <c r="T50" s="375" t="s">
        <v>322</v>
      </c>
      <c r="U50" s="376"/>
      <c r="V50" s="377">
        <f t="shared" si="2"/>
        <v>-6292</v>
      </c>
      <c r="W50" s="375" t="s">
        <v>322</v>
      </c>
      <c r="X50" s="376"/>
      <c r="Y50" s="378">
        <f t="shared" si="3"/>
        <v>-6292</v>
      </c>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9"/>
    </row>
    <row r="51" spans="1:82" s="468" customFormat="1" ht="71.25" customHeight="1" x14ac:dyDescent="0.2">
      <c r="A51" s="579"/>
      <c r="B51" s="615"/>
      <c r="C51" s="577"/>
      <c r="D51" s="563"/>
      <c r="E51" s="563"/>
      <c r="F51" s="707"/>
      <c r="G51" s="331" t="s">
        <v>216</v>
      </c>
      <c r="H51" s="449" t="s">
        <v>214</v>
      </c>
      <c r="I51" s="449" t="s">
        <v>217</v>
      </c>
      <c r="J51" s="449">
        <v>1</v>
      </c>
      <c r="K51" s="332">
        <v>44165</v>
      </c>
      <c r="L51" s="332">
        <v>44316</v>
      </c>
      <c r="M51" s="333">
        <f t="shared" si="7"/>
        <v>21.571428571428573</v>
      </c>
      <c r="N51" s="717"/>
      <c r="O51" s="718"/>
      <c r="P51" s="415"/>
      <c r="Q51" s="379" t="s">
        <v>322</v>
      </c>
      <c r="R51" s="380"/>
      <c r="S51" s="381">
        <f t="shared" si="6"/>
        <v>-6309.2857142857147</v>
      </c>
      <c r="T51" s="379" t="s">
        <v>322</v>
      </c>
      <c r="U51" s="380"/>
      <c r="V51" s="381">
        <f t="shared" si="2"/>
        <v>-6309.2857142857147</v>
      </c>
      <c r="W51" s="379" t="s">
        <v>322</v>
      </c>
      <c r="X51" s="380"/>
      <c r="Y51" s="382">
        <f t="shared" si="3"/>
        <v>-6309.2857142857147</v>
      </c>
    </row>
    <row r="52" spans="1:82" s="468" customFormat="1" ht="70.5" customHeight="1" thickBot="1" x14ac:dyDescent="0.25">
      <c r="A52" s="580"/>
      <c r="B52" s="556"/>
      <c r="C52" s="558"/>
      <c r="D52" s="556"/>
      <c r="E52" s="556"/>
      <c r="F52" s="708"/>
      <c r="G52" s="334" t="s">
        <v>218</v>
      </c>
      <c r="H52" s="453" t="s">
        <v>214</v>
      </c>
      <c r="I52" s="453" t="s">
        <v>219</v>
      </c>
      <c r="J52" s="463">
        <v>2</v>
      </c>
      <c r="K52" s="335">
        <v>44317</v>
      </c>
      <c r="L52" s="335">
        <v>44347</v>
      </c>
      <c r="M52" s="336">
        <f t="shared" si="7"/>
        <v>4.2857142857142856</v>
      </c>
      <c r="N52" s="719"/>
      <c r="O52" s="720"/>
      <c r="P52" s="416"/>
      <c r="Q52" s="383" t="s">
        <v>322</v>
      </c>
      <c r="R52" s="384"/>
      <c r="S52" s="385">
        <f t="shared" si="6"/>
        <v>-6331</v>
      </c>
      <c r="T52" s="383" t="s">
        <v>322</v>
      </c>
      <c r="U52" s="384"/>
      <c r="V52" s="385">
        <f t="shared" si="2"/>
        <v>-6331</v>
      </c>
      <c r="W52" s="383" t="s">
        <v>322</v>
      </c>
      <c r="X52" s="384"/>
      <c r="Y52" s="386">
        <f t="shared" si="3"/>
        <v>-6331</v>
      </c>
    </row>
    <row r="53" spans="1:82" s="471" customFormat="1" ht="75" customHeight="1" x14ac:dyDescent="0.2">
      <c r="A53" s="675">
        <v>13</v>
      </c>
      <c r="B53" s="621" t="s">
        <v>125</v>
      </c>
      <c r="C53" s="557" t="s">
        <v>147</v>
      </c>
      <c r="D53" s="555" t="s">
        <v>287</v>
      </c>
      <c r="E53" s="555" t="s">
        <v>288</v>
      </c>
      <c r="F53" s="706" t="s">
        <v>212</v>
      </c>
      <c r="G53" s="337" t="s">
        <v>213</v>
      </c>
      <c r="H53" s="338" t="s">
        <v>214</v>
      </c>
      <c r="I53" s="450" t="s">
        <v>215</v>
      </c>
      <c r="J53" s="450">
        <v>4</v>
      </c>
      <c r="K53" s="339">
        <v>44044</v>
      </c>
      <c r="L53" s="339">
        <v>44165</v>
      </c>
      <c r="M53" s="454">
        <v>17.285714285714285</v>
      </c>
      <c r="N53" s="605" t="s">
        <v>87</v>
      </c>
      <c r="O53" s="606"/>
      <c r="P53" s="414"/>
      <c r="Q53" s="375" t="s">
        <v>322</v>
      </c>
      <c r="R53" s="376"/>
      <c r="S53" s="377">
        <f t="shared" si="6"/>
        <v>-6292</v>
      </c>
      <c r="T53" s="375" t="s">
        <v>322</v>
      </c>
      <c r="U53" s="376"/>
      <c r="V53" s="377">
        <f t="shared" si="2"/>
        <v>-6292</v>
      </c>
      <c r="W53" s="375" t="s">
        <v>322</v>
      </c>
      <c r="X53" s="376"/>
      <c r="Y53" s="378">
        <f t="shared" si="3"/>
        <v>-6292</v>
      </c>
    </row>
    <row r="54" spans="1:82" s="471" customFormat="1" ht="65.099999999999994" customHeight="1" x14ac:dyDescent="0.2">
      <c r="A54" s="676"/>
      <c r="B54" s="615"/>
      <c r="C54" s="577"/>
      <c r="D54" s="563"/>
      <c r="E54" s="563"/>
      <c r="F54" s="707"/>
      <c r="G54" s="340" t="s">
        <v>216</v>
      </c>
      <c r="H54" s="341" t="s">
        <v>214</v>
      </c>
      <c r="I54" s="451" t="s">
        <v>217</v>
      </c>
      <c r="J54" s="451">
        <v>1</v>
      </c>
      <c r="K54" s="342">
        <v>44165</v>
      </c>
      <c r="L54" s="342">
        <v>44316</v>
      </c>
      <c r="M54" s="455">
        <v>21.571428571428573</v>
      </c>
      <c r="N54" s="607"/>
      <c r="O54" s="608"/>
      <c r="P54" s="415"/>
      <c r="Q54" s="379" t="s">
        <v>322</v>
      </c>
      <c r="R54" s="380"/>
      <c r="S54" s="381">
        <f t="shared" si="6"/>
        <v>-6309.2857142857147</v>
      </c>
      <c r="T54" s="379" t="s">
        <v>322</v>
      </c>
      <c r="U54" s="380"/>
      <c r="V54" s="381">
        <f t="shared" si="2"/>
        <v>-6309.2857142857147</v>
      </c>
      <c r="W54" s="379" t="s">
        <v>322</v>
      </c>
      <c r="X54" s="380"/>
      <c r="Y54" s="382">
        <f t="shared" si="3"/>
        <v>-6309.2857142857147</v>
      </c>
    </row>
    <row r="55" spans="1:82" s="471" customFormat="1" ht="65.099999999999994" customHeight="1" thickBot="1" x14ac:dyDescent="0.25">
      <c r="A55" s="677"/>
      <c r="B55" s="616"/>
      <c r="C55" s="558"/>
      <c r="D55" s="556"/>
      <c r="E55" s="556"/>
      <c r="F55" s="708"/>
      <c r="G55" s="429" t="s">
        <v>218</v>
      </c>
      <c r="H55" s="430" t="s">
        <v>214</v>
      </c>
      <c r="I55" s="452" t="s">
        <v>219</v>
      </c>
      <c r="J55" s="452">
        <v>2</v>
      </c>
      <c r="K55" s="431">
        <v>44317</v>
      </c>
      <c r="L55" s="431">
        <v>44347</v>
      </c>
      <c r="M55" s="456">
        <v>4.2857142857142856</v>
      </c>
      <c r="N55" s="609"/>
      <c r="O55" s="610"/>
      <c r="P55" s="416"/>
      <c r="Q55" s="383" t="s">
        <v>322</v>
      </c>
      <c r="R55" s="384"/>
      <c r="S55" s="385">
        <f t="shared" si="6"/>
        <v>-6331</v>
      </c>
      <c r="T55" s="383" t="s">
        <v>322</v>
      </c>
      <c r="U55" s="384"/>
      <c r="V55" s="385">
        <f t="shared" si="2"/>
        <v>-6331</v>
      </c>
      <c r="W55" s="383" t="s">
        <v>322</v>
      </c>
      <c r="X55" s="384"/>
      <c r="Y55" s="386">
        <f t="shared" si="3"/>
        <v>-6331</v>
      </c>
    </row>
    <row r="56" spans="1:82" s="471" customFormat="1" ht="65.099999999999994" customHeight="1" x14ac:dyDescent="0.2">
      <c r="A56" s="578">
        <v>14</v>
      </c>
      <c r="B56" s="622" t="s">
        <v>126</v>
      </c>
      <c r="C56" s="557" t="s">
        <v>148</v>
      </c>
      <c r="D56" s="555" t="s">
        <v>290</v>
      </c>
      <c r="E56" s="555" t="s">
        <v>289</v>
      </c>
      <c r="F56" s="564" t="s">
        <v>212</v>
      </c>
      <c r="G56" s="326" t="s">
        <v>213</v>
      </c>
      <c r="H56" s="327" t="s">
        <v>214</v>
      </c>
      <c r="I56" s="448" t="s">
        <v>215</v>
      </c>
      <c r="J56" s="448">
        <v>4</v>
      </c>
      <c r="K56" s="328">
        <v>44044</v>
      </c>
      <c r="L56" s="329">
        <v>44165</v>
      </c>
      <c r="M56" s="330">
        <f t="shared" ref="M56:M64" si="8">+(L56-K56)/7</f>
        <v>17.285714285714285</v>
      </c>
      <c r="N56" s="605" t="s">
        <v>87</v>
      </c>
      <c r="O56" s="606"/>
      <c r="P56" s="414"/>
      <c r="Q56" s="375" t="s">
        <v>322</v>
      </c>
      <c r="R56" s="376"/>
      <c r="S56" s="377">
        <f t="shared" si="6"/>
        <v>-6292</v>
      </c>
      <c r="T56" s="375" t="s">
        <v>322</v>
      </c>
      <c r="U56" s="376"/>
      <c r="V56" s="377">
        <f t="shared" si="2"/>
        <v>-6292</v>
      </c>
      <c r="W56" s="375" t="s">
        <v>322</v>
      </c>
      <c r="X56" s="376"/>
      <c r="Y56" s="378">
        <f t="shared" si="3"/>
        <v>-6292</v>
      </c>
    </row>
    <row r="57" spans="1:82" s="471" customFormat="1" ht="65.099999999999994" customHeight="1" x14ac:dyDescent="0.2">
      <c r="A57" s="579"/>
      <c r="B57" s="623"/>
      <c r="C57" s="577"/>
      <c r="D57" s="563"/>
      <c r="E57" s="563"/>
      <c r="F57" s="565"/>
      <c r="G57" s="331" t="s">
        <v>216</v>
      </c>
      <c r="H57" s="303" t="s">
        <v>214</v>
      </c>
      <c r="I57" s="449" t="s">
        <v>217</v>
      </c>
      <c r="J57" s="449">
        <v>1</v>
      </c>
      <c r="K57" s="332">
        <v>44165</v>
      </c>
      <c r="L57" s="332">
        <v>44316</v>
      </c>
      <c r="M57" s="333">
        <f t="shared" si="8"/>
        <v>21.571428571428573</v>
      </c>
      <c r="N57" s="607"/>
      <c r="O57" s="608"/>
      <c r="P57" s="415"/>
      <c r="Q57" s="379" t="s">
        <v>322</v>
      </c>
      <c r="R57" s="380"/>
      <c r="S57" s="381">
        <f t="shared" si="6"/>
        <v>-6309.2857142857147</v>
      </c>
      <c r="T57" s="379" t="s">
        <v>322</v>
      </c>
      <c r="U57" s="380"/>
      <c r="V57" s="381">
        <f t="shared" si="2"/>
        <v>-6309.2857142857147</v>
      </c>
      <c r="W57" s="379" t="s">
        <v>322</v>
      </c>
      <c r="X57" s="380"/>
      <c r="Y57" s="382">
        <f t="shared" si="3"/>
        <v>-6309.2857142857147</v>
      </c>
    </row>
    <row r="58" spans="1:82" s="471" customFormat="1" ht="65.099999999999994" customHeight="1" thickBot="1" x14ac:dyDescent="0.25">
      <c r="A58" s="580"/>
      <c r="B58" s="624"/>
      <c r="C58" s="558"/>
      <c r="D58" s="556"/>
      <c r="E58" s="556"/>
      <c r="F58" s="566"/>
      <c r="G58" s="334" t="s">
        <v>218</v>
      </c>
      <c r="H58" s="311" t="s">
        <v>214</v>
      </c>
      <c r="I58" s="453" t="s">
        <v>219</v>
      </c>
      <c r="J58" s="463">
        <v>2</v>
      </c>
      <c r="K58" s="335">
        <v>44317</v>
      </c>
      <c r="L58" s="335">
        <v>44347</v>
      </c>
      <c r="M58" s="336">
        <f t="shared" si="8"/>
        <v>4.2857142857142856</v>
      </c>
      <c r="N58" s="609"/>
      <c r="O58" s="610"/>
      <c r="P58" s="416"/>
      <c r="Q58" s="383" t="s">
        <v>322</v>
      </c>
      <c r="R58" s="384"/>
      <c r="S58" s="385">
        <f t="shared" si="6"/>
        <v>-6331</v>
      </c>
      <c r="T58" s="383" t="s">
        <v>322</v>
      </c>
      <c r="U58" s="384"/>
      <c r="V58" s="385">
        <f t="shared" si="2"/>
        <v>-6331</v>
      </c>
      <c r="W58" s="383" t="s">
        <v>322</v>
      </c>
      <c r="X58" s="384"/>
      <c r="Y58" s="386">
        <f t="shared" si="3"/>
        <v>-6331</v>
      </c>
    </row>
    <row r="59" spans="1:82" s="468" customFormat="1" ht="65.099999999999994" customHeight="1" x14ac:dyDescent="0.2">
      <c r="A59" s="578">
        <v>15</v>
      </c>
      <c r="B59" s="621" t="s">
        <v>127</v>
      </c>
      <c r="C59" s="557" t="s">
        <v>149</v>
      </c>
      <c r="D59" s="555" t="s">
        <v>291</v>
      </c>
      <c r="E59" s="555" t="s">
        <v>292</v>
      </c>
      <c r="F59" s="564" t="s">
        <v>212</v>
      </c>
      <c r="G59" s="326" t="s">
        <v>213</v>
      </c>
      <c r="H59" s="327" t="s">
        <v>214</v>
      </c>
      <c r="I59" s="448" t="s">
        <v>215</v>
      </c>
      <c r="J59" s="448">
        <v>4</v>
      </c>
      <c r="K59" s="328">
        <v>44044</v>
      </c>
      <c r="L59" s="329">
        <v>44165</v>
      </c>
      <c r="M59" s="330">
        <f t="shared" si="8"/>
        <v>17.285714285714285</v>
      </c>
      <c r="N59" s="605" t="s">
        <v>87</v>
      </c>
      <c r="O59" s="606"/>
      <c r="P59" s="414"/>
      <c r="Q59" s="375" t="s">
        <v>322</v>
      </c>
      <c r="R59" s="376"/>
      <c r="S59" s="377">
        <f t="shared" si="6"/>
        <v>-6292</v>
      </c>
      <c r="T59" s="375" t="s">
        <v>322</v>
      </c>
      <c r="U59" s="376"/>
      <c r="V59" s="377">
        <f t="shared" si="2"/>
        <v>-6292</v>
      </c>
      <c r="W59" s="375" t="s">
        <v>322</v>
      </c>
      <c r="X59" s="376"/>
      <c r="Y59" s="378">
        <f t="shared" si="3"/>
        <v>-6292</v>
      </c>
    </row>
    <row r="60" spans="1:82" s="468" customFormat="1" ht="65.099999999999994" customHeight="1" x14ac:dyDescent="0.2">
      <c r="A60" s="579"/>
      <c r="B60" s="563"/>
      <c r="C60" s="577"/>
      <c r="D60" s="563"/>
      <c r="E60" s="563"/>
      <c r="F60" s="565"/>
      <c r="G60" s="331" t="s">
        <v>216</v>
      </c>
      <c r="H60" s="303" t="s">
        <v>214</v>
      </c>
      <c r="I60" s="449" t="s">
        <v>217</v>
      </c>
      <c r="J60" s="449">
        <v>1</v>
      </c>
      <c r="K60" s="332">
        <v>44165</v>
      </c>
      <c r="L60" s="332">
        <v>44316</v>
      </c>
      <c r="M60" s="333">
        <f t="shared" si="8"/>
        <v>21.571428571428573</v>
      </c>
      <c r="N60" s="607"/>
      <c r="O60" s="608"/>
      <c r="P60" s="415"/>
      <c r="Q60" s="379" t="s">
        <v>322</v>
      </c>
      <c r="R60" s="380"/>
      <c r="S60" s="381">
        <f t="shared" si="6"/>
        <v>-6309.2857142857147</v>
      </c>
      <c r="T60" s="379" t="s">
        <v>322</v>
      </c>
      <c r="U60" s="380"/>
      <c r="V60" s="381">
        <f t="shared" si="2"/>
        <v>-6309.2857142857147</v>
      </c>
      <c r="W60" s="379" t="s">
        <v>322</v>
      </c>
      <c r="X60" s="380"/>
      <c r="Y60" s="382">
        <f t="shared" si="3"/>
        <v>-6309.2857142857147</v>
      </c>
    </row>
    <row r="61" spans="1:82" s="468" customFormat="1" ht="65.099999999999994" customHeight="1" thickBot="1" x14ac:dyDescent="0.25">
      <c r="A61" s="580"/>
      <c r="B61" s="556"/>
      <c r="C61" s="558"/>
      <c r="D61" s="556"/>
      <c r="E61" s="556"/>
      <c r="F61" s="566"/>
      <c r="G61" s="334" t="s">
        <v>218</v>
      </c>
      <c r="H61" s="311" t="s">
        <v>214</v>
      </c>
      <c r="I61" s="453" t="s">
        <v>219</v>
      </c>
      <c r="J61" s="463">
        <v>2</v>
      </c>
      <c r="K61" s="335">
        <v>44317</v>
      </c>
      <c r="L61" s="335">
        <v>44347</v>
      </c>
      <c r="M61" s="336">
        <f t="shared" si="8"/>
        <v>4.2857142857142856</v>
      </c>
      <c r="N61" s="609"/>
      <c r="O61" s="610"/>
      <c r="P61" s="416"/>
      <c r="Q61" s="383" t="s">
        <v>322</v>
      </c>
      <c r="R61" s="384"/>
      <c r="S61" s="385">
        <f t="shared" si="6"/>
        <v>-6331</v>
      </c>
      <c r="T61" s="383" t="s">
        <v>322</v>
      </c>
      <c r="U61" s="384"/>
      <c r="V61" s="385">
        <f t="shared" si="2"/>
        <v>-6331</v>
      </c>
      <c r="W61" s="383" t="s">
        <v>322</v>
      </c>
      <c r="X61" s="384"/>
      <c r="Y61" s="386">
        <f t="shared" si="3"/>
        <v>-6331</v>
      </c>
    </row>
    <row r="62" spans="1:82" s="468" customFormat="1" ht="77.25" customHeight="1" x14ac:dyDescent="0.2">
      <c r="A62" s="578">
        <v>16</v>
      </c>
      <c r="B62" s="621" t="s">
        <v>128</v>
      </c>
      <c r="C62" s="557" t="s">
        <v>150</v>
      </c>
      <c r="D62" s="555" t="s">
        <v>294</v>
      </c>
      <c r="E62" s="555" t="s">
        <v>293</v>
      </c>
      <c r="F62" s="564" t="s">
        <v>212</v>
      </c>
      <c r="G62" s="326" t="s">
        <v>213</v>
      </c>
      <c r="H62" s="327" t="s">
        <v>214</v>
      </c>
      <c r="I62" s="448" t="s">
        <v>215</v>
      </c>
      <c r="J62" s="448">
        <v>4</v>
      </c>
      <c r="K62" s="328">
        <v>44044</v>
      </c>
      <c r="L62" s="329">
        <v>44165</v>
      </c>
      <c r="M62" s="330">
        <f t="shared" si="8"/>
        <v>17.285714285714285</v>
      </c>
      <c r="N62" s="605" t="s">
        <v>87</v>
      </c>
      <c r="O62" s="606"/>
      <c r="P62" s="414"/>
      <c r="Q62" s="375" t="s">
        <v>322</v>
      </c>
      <c r="R62" s="376"/>
      <c r="S62" s="377">
        <f t="shared" si="6"/>
        <v>-6292</v>
      </c>
      <c r="T62" s="375" t="s">
        <v>322</v>
      </c>
      <c r="U62" s="376"/>
      <c r="V62" s="377">
        <f t="shared" si="2"/>
        <v>-6292</v>
      </c>
      <c r="W62" s="375" t="s">
        <v>322</v>
      </c>
      <c r="X62" s="376"/>
      <c r="Y62" s="378">
        <f t="shared" si="3"/>
        <v>-6292</v>
      </c>
    </row>
    <row r="63" spans="1:82" s="468" customFormat="1" ht="69" customHeight="1" x14ac:dyDescent="0.2">
      <c r="A63" s="579"/>
      <c r="B63" s="563"/>
      <c r="C63" s="577"/>
      <c r="D63" s="563"/>
      <c r="E63" s="563"/>
      <c r="F63" s="565"/>
      <c r="G63" s="331" t="s">
        <v>216</v>
      </c>
      <c r="H63" s="303" t="s">
        <v>214</v>
      </c>
      <c r="I63" s="449" t="s">
        <v>217</v>
      </c>
      <c r="J63" s="449">
        <v>1</v>
      </c>
      <c r="K63" s="332">
        <v>44165</v>
      </c>
      <c r="L63" s="332">
        <v>44316</v>
      </c>
      <c r="M63" s="333">
        <f t="shared" si="8"/>
        <v>21.571428571428573</v>
      </c>
      <c r="N63" s="607"/>
      <c r="O63" s="608"/>
      <c r="P63" s="415"/>
      <c r="Q63" s="379" t="s">
        <v>322</v>
      </c>
      <c r="R63" s="380"/>
      <c r="S63" s="381">
        <f t="shared" si="6"/>
        <v>-6309.2857142857147</v>
      </c>
      <c r="T63" s="379" t="s">
        <v>322</v>
      </c>
      <c r="U63" s="380"/>
      <c r="V63" s="381">
        <f t="shared" si="2"/>
        <v>-6309.2857142857147</v>
      </c>
      <c r="W63" s="379" t="s">
        <v>322</v>
      </c>
      <c r="X63" s="380"/>
      <c r="Y63" s="382">
        <f t="shared" si="3"/>
        <v>-6309.2857142857147</v>
      </c>
    </row>
    <row r="64" spans="1:82" s="468" customFormat="1" ht="65.099999999999994" customHeight="1" thickBot="1" x14ac:dyDescent="0.25">
      <c r="A64" s="580"/>
      <c r="B64" s="556"/>
      <c r="C64" s="558"/>
      <c r="D64" s="556"/>
      <c r="E64" s="556"/>
      <c r="F64" s="566"/>
      <c r="G64" s="334" t="s">
        <v>218</v>
      </c>
      <c r="H64" s="311" t="s">
        <v>214</v>
      </c>
      <c r="I64" s="453" t="s">
        <v>219</v>
      </c>
      <c r="J64" s="463">
        <v>2</v>
      </c>
      <c r="K64" s="335">
        <v>44317</v>
      </c>
      <c r="L64" s="335">
        <v>44347</v>
      </c>
      <c r="M64" s="336">
        <f t="shared" si="8"/>
        <v>4.2857142857142856</v>
      </c>
      <c r="N64" s="609"/>
      <c r="O64" s="610"/>
      <c r="P64" s="416"/>
      <c r="Q64" s="383" t="s">
        <v>322</v>
      </c>
      <c r="R64" s="384"/>
      <c r="S64" s="385">
        <f t="shared" si="6"/>
        <v>-6331</v>
      </c>
      <c r="T64" s="383" t="s">
        <v>322</v>
      </c>
      <c r="U64" s="384"/>
      <c r="V64" s="385">
        <f t="shared" si="2"/>
        <v>-6331</v>
      </c>
      <c r="W64" s="383" t="s">
        <v>322</v>
      </c>
      <c r="X64" s="384"/>
      <c r="Y64" s="386">
        <f t="shared" si="3"/>
        <v>-6331</v>
      </c>
    </row>
    <row r="65" spans="1:25" s="468" customFormat="1" ht="65.099999999999994" customHeight="1" x14ac:dyDescent="0.2">
      <c r="A65" s="578">
        <v>17</v>
      </c>
      <c r="B65" s="621" t="s">
        <v>129</v>
      </c>
      <c r="C65" s="557" t="s">
        <v>151</v>
      </c>
      <c r="D65" s="555" t="s">
        <v>295</v>
      </c>
      <c r="E65" s="555" t="s">
        <v>296</v>
      </c>
      <c r="F65" s="564" t="s">
        <v>220</v>
      </c>
      <c r="G65" s="314" t="s">
        <v>221</v>
      </c>
      <c r="H65" s="327" t="s">
        <v>169</v>
      </c>
      <c r="I65" s="314" t="s">
        <v>170</v>
      </c>
      <c r="J65" s="461">
        <v>1</v>
      </c>
      <c r="K65" s="315">
        <v>44073</v>
      </c>
      <c r="L65" s="315">
        <v>44285</v>
      </c>
      <c r="M65" s="316">
        <f t="shared" ref="M65:M73" si="9">(L65-K65)/7</f>
        <v>30.285714285714285</v>
      </c>
      <c r="N65" s="605" t="s">
        <v>87</v>
      </c>
      <c r="O65" s="606"/>
      <c r="P65" s="414"/>
      <c r="Q65" s="375" t="s">
        <v>322</v>
      </c>
      <c r="R65" s="376"/>
      <c r="S65" s="377">
        <f t="shared" si="6"/>
        <v>-6296.1428571428569</v>
      </c>
      <c r="T65" s="375" t="s">
        <v>322</v>
      </c>
      <c r="U65" s="376"/>
      <c r="V65" s="377">
        <f t="shared" si="2"/>
        <v>-6296.1428571428569</v>
      </c>
      <c r="W65" s="375" t="s">
        <v>322</v>
      </c>
      <c r="X65" s="376"/>
      <c r="Y65" s="378">
        <f t="shared" si="3"/>
        <v>-6296.1428571428569</v>
      </c>
    </row>
    <row r="66" spans="1:25" s="468" customFormat="1" ht="65.099999999999994" customHeight="1" x14ac:dyDescent="0.2">
      <c r="A66" s="579"/>
      <c r="B66" s="563"/>
      <c r="C66" s="577"/>
      <c r="D66" s="563"/>
      <c r="E66" s="563"/>
      <c r="F66" s="565"/>
      <c r="G66" s="307" t="s">
        <v>222</v>
      </c>
      <c r="H66" s="303" t="s">
        <v>169</v>
      </c>
      <c r="I66" s="307" t="s">
        <v>170</v>
      </c>
      <c r="J66" s="307">
        <v>1</v>
      </c>
      <c r="K66" s="308">
        <v>44286</v>
      </c>
      <c r="L66" s="308">
        <v>44316</v>
      </c>
      <c r="M66" s="309">
        <f t="shared" si="9"/>
        <v>4.2857142857142856</v>
      </c>
      <c r="N66" s="607"/>
      <c r="O66" s="608"/>
      <c r="P66" s="415"/>
      <c r="Q66" s="379" t="s">
        <v>322</v>
      </c>
      <c r="R66" s="380"/>
      <c r="S66" s="381">
        <f t="shared" si="6"/>
        <v>-6326.5714285714284</v>
      </c>
      <c r="T66" s="379" t="s">
        <v>322</v>
      </c>
      <c r="U66" s="380"/>
      <c r="V66" s="381">
        <f t="shared" si="2"/>
        <v>-6326.5714285714284</v>
      </c>
      <c r="W66" s="379" t="s">
        <v>322</v>
      </c>
      <c r="X66" s="380"/>
      <c r="Y66" s="382">
        <f t="shared" si="3"/>
        <v>-6326.5714285714284</v>
      </c>
    </row>
    <row r="67" spans="1:25" s="468" customFormat="1" ht="65.099999999999994" customHeight="1" thickBot="1" x14ac:dyDescent="0.25">
      <c r="A67" s="580"/>
      <c r="B67" s="556"/>
      <c r="C67" s="558"/>
      <c r="D67" s="556"/>
      <c r="E67" s="556"/>
      <c r="F67" s="566"/>
      <c r="G67" s="310" t="s">
        <v>223</v>
      </c>
      <c r="H67" s="311" t="s">
        <v>169</v>
      </c>
      <c r="I67" s="310" t="s">
        <v>170</v>
      </c>
      <c r="J67" s="310">
        <v>1</v>
      </c>
      <c r="K67" s="312">
        <v>44317</v>
      </c>
      <c r="L67" s="312">
        <v>44347</v>
      </c>
      <c r="M67" s="313">
        <f t="shared" si="9"/>
        <v>4.2857142857142856</v>
      </c>
      <c r="N67" s="609"/>
      <c r="O67" s="610"/>
      <c r="P67" s="416"/>
      <c r="Q67" s="383" t="s">
        <v>322</v>
      </c>
      <c r="R67" s="384"/>
      <c r="S67" s="385">
        <f t="shared" si="6"/>
        <v>-6331</v>
      </c>
      <c r="T67" s="383" t="s">
        <v>322</v>
      </c>
      <c r="U67" s="384"/>
      <c r="V67" s="385">
        <f t="shared" si="2"/>
        <v>-6331</v>
      </c>
      <c r="W67" s="383" t="s">
        <v>322</v>
      </c>
      <c r="X67" s="384"/>
      <c r="Y67" s="386">
        <f t="shared" si="3"/>
        <v>-6331</v>
      </c>
    </row>
    <row r="68" spans="1:25" s="468" customFormat="1" ht="65.099999999999994" customHeight="1" x14ac:dyDescent="0.2">
      <c r="A68" s="578">
        <v>18</v>
      </c>
      <c r="B68" s="621" t="s">
        <v>130</v>
      </c>
      <c r="C68" s="557" t="s">
        <v>152</v>
      </c>
      <c r="D68" s="555" t="s">
        <v>297</v>
      </c>
      <c r="E68" s="555" t="s">
        <v>298</v>
      </c>
      <c r="F68" s="564" t="s">
        <v>224</v>
      </c>
      <c r="G68" s="323" t="s">
        <v>225</v>
      </c>
      <c r="H68" s="327" t="s">
        <v>169</v>
      </c>
      <c r="I68" s="314" t="s">
        <v>170</v>
      </c>
      <c r="J68" s="461">
        <v>1</v>
      </c>
      <c r="K68" s="315">
        <v>44044</v>
      </c>
      <c r="L68" s="315">
        <v>44255</v>
      </c>
      <c r="M68" s="316">
        <f t="shared" si="9"/>
        <v>30.142857142857142</v>
      </c>
      <c r="N68" s="605" t="s">
        <v>87</v>
      </c>
      <c r="O68" s="606"/>
      <c r="P68" s="414"/>
      <c r="Q68" s="375" t="s">
        <v>322</v>
      </c>
      <c r="R68" s="376"/>
      <c r="S68" s="377">
        <f t="shared" si="6"/>
        <v>-6292</v>
      </c>
      <c r="T68" s="375" t="s">
        <v>322</v>
      </c>
      <c r="U68" s="376"/>
      <c r="V68" s="377">
        <f t="shared" si="2"/>
        <v>-6292</v>
      </c>
      <c r="W68" s="375" t="s">
        <v>322</v>
      </c>
      <c r="X68" s="376"/>
      <c r="Y68" s="378">
        <f t="shared" si="3"/>
        <v>-6292</v>
      </c>
    </row>
    <row r="69" spans="1:25" s="468" customFormat="1" ht="65.099999999999994" customHeight="1" x14ac:dyDescent="0.2">
      <c r="A69" s="579"/>
      <c r="B69" s="563"/>
      <c r="C69" s="577"/>
      <c r="D69" s="563"/>
      <c r="E69" s="563"/>
      <c r="F69" s="565"/>
      <c r="G69" s="307" t="s">
        <v>226</v>
      </c>
      <c r="H69" s="303" t="s">
        <v>169</v>
      </c>
      <c r="I69" s="307" t="s">
        <v>170</v>
      </c>
      <c r="J69" s="462">
        <v>1</v>
      </c>
      <c r="K69" s="308">
        <v>44256</v>
      </c>
      <c r="L69" s="308">
        <v>44316</v>
      </c>
      <c r="M69" s="309">
        <f t="shared" si="9"/>
        <v>8.5714285714285712</v>
      </c>
      <c r="N69" s="607"/>
      <c r="O69" s="608"/>
      <c r="P69" s="415"/>
      <c r="Q69" s="379" t="s">
        <v>322</v>
      </c>
      <c r="R69" s="380"/>
      <c r="S69" s="381">
        <f t="shared" si="6"/>
        <v>-6322.2857142857147</v>
      </c>
      <c r="T69" s="379" t="s">
        <v>322</v>
      </c>
      <c r="U69" s="380"/>
      <c r="V69" s="381">
        <f t="shared" si="2"/>
        <v>-6322.2857142857147</v>
      </c>
      <c r="W69" s="379" t="s">
        <v>322</v>
      </c>
      <c r="X69" s="380"/>
      <c r="Y69" s="382">
        <f t="shared" si="3"/>
        <v>-6322.2857142857147</v>
      </c>
    </row>
    <row r="70" spans="1:25" s="468" customFormat="1" ht="65.099999999999994" customHeight="1" thickBot="1" x14ac:dyDescent="0.25">
      <c r="A70" s="580"/>
      <c r="B70" s="556"/>
      <c r="C70" s="558"/>
      <c r="D70" s="556"/>
      <c r="E70" s="556"/>
      <c r="F70" s="566"/>
      <c r="G70" s="310" t="s">
        <v>227</v>
      </c>
      <c r="H70" s="311" t="s">
        <v>169</v>
      </c>
      <c r="I70" s="310" t="s">
        <v>170</v>
      </c>
      <c r="J70" s="463">
        <v>1</v>
      </c>
      <c r="K70" s="312">
        <v>44317</v>
      </c>
      <c r="L70" s="312">
        <v>44347</v>
      </c>
      <c r="M70" s="313">
        <f t="shared" si="9"/>
        <v>4.2857142857142856</v>
      </c>
      <c r="N70" s="609"/>
      <c r="O70" s="610"/>
      <c r="P70" s="416"/>
      <c r="Q70" s="383" t="s">
        <v>322</v>
      </c>
      <c r="R70" s="384"/>
      <c r="S70" s="385">
        <f t="shared" si="6"/>
        <v>-6331</v>
      </c>
      <c r="T70" s="383" t="s">
        <v>322</v>
      </c>
      <c r="U70" s="384"/>
      <c r="V70" s="385">
        <f t="shared" si="2"/>
        <v>-6331</v>
      </c>
      <c r="W70" s="383" t="s">
        <v>322</v>
      </c>
      <c r="X70" s="384"/>
      <c r="Y70" s="386">
        <f t="shared" si="3"/>
        <v>-6331</v>
      </c>
    </row>
    <row r="71" spans="1:25" s="468" customFormat="1" ht="65.099999999999994" customHeight="1" x14ac:dyDescent="0.2">
      <c r="A71" s="578">
        <v>19</v>
      </c>
      <c r="B71" s="621" t="s">
        <v>131</v>
      </c>
      <c r="C71" s="557" t="s">
        <v>153</v>
      </c>
      <c r="D71" s="555" t="s">
        <v>299</v>
      </c>
      <c r="E71" s="555" t="s">
        <v>300</v>
      </c>
      <c r="F71" s="564" t="s">
        <v>228</v>
      </c>
      <c r="G71" s="314" t="s">
        <v>229</v>
      </c>
      <c r="H71" s="327" t="s">
        <v>169</v>
      </c>
      <c r="I71" s="314" t="s">
        <v>170</v>
      </c>
      <c r="J71" s="461">
        <v>1</v>
      </c>
      <c r="K71" s="315">
        <v>44044</v>
      </c>
      <c r="L71" s="315">
        <v>44104</v>
      </c>
      <c r="M71" s="316">
        <f t="shared" si="9"/>
        <v>8.5714285714285712</v>
      </c>
      <c r="N71" s="605" t="s">
        <v>87</v>
      </c>
      <c r="O71" s="606"/>
      <c r="P71" s="414"/>
      <c r="Q71" s="375" t="s">
        <v>322</v>
      </c>
      <c r="R71" s="376"/>
      <c r="S71" s="377">
        <f t="shared" si="6"/>
        <v>-6292</v>
      </c>
      <c r="T71" s="375" t="s">
        <v>322</v>
      </c>
      <c r="U71" s="376"/>
      <c r="V71" s="377">
        <f t="shared" si="2"/>
        <v>-6292</v>
      </c>
      <c r="W71" s="375" t="s">
        <v>322</v>
      </c>
      <c r="X71" s="376"/>
      <c r="Y71" s="378">
        <f t="shared" si="3"/>
        <v>-6292</v>
      </c>
    </row>
    <row r="72" spans="1:25" s="468" customFormat="1" ht="91.5" customHeight="1" x14ac:dyDescent="0.2">
      <c r="A72" s="579"/>
      <c r="B72" s="563"/>
      <c r="C72" s="577"/>
      <c r="D72" s="563"/>
      <c r="E72" s="563"/>
      <c r="F72" s="565"/>
      <c r="G72" s="307" t="s">
        <v>230</v>
      </c>
      <c r="H72" s="303" t="s">
        <v>169</v>
      </c>
      <c r="I72" s="307" t="s">
        <v>170</v>
      </c>
      <c r="J72" s="462">
        <v>1</v>
      </c>
      <c r="K72" s="308">
        <v>44105</v>
      </c>
      <c r="L72" s="308">
        <v>44134</v>
      </c>
      <c r="M72" s="309">
        <f t="shared" si="9"/>
        <v>4.1428571428571432</v>
      </c>
      <c r="N72" s="607"/>
      <c r="O72" s="608"/>
      <c r="P72" s="415"/>
      <c r="Q72" s="379" t="s">
        <v>322</v>
      </c>
      <c r="R72" s="380"/>
      <c r="S72" s="381">
        <f t="shared" si="6"/>
        <v>-6300.7142857142853</v>
      </c>
      <c r="T72" s="379" t="s">
        <v>322</v>
      </c>
      <c r="U72" s="380"/>
      <c r="V72" s="381">
        <f t="shared" si="2"/>
        <v>-6300.7142857142853</v>
      </c>
      <c r="W72" s="379" t="s">
        <v>322</v>
      </c>
      <c r="X72" s="380"/>
      <c r="Y72" s="382">
        <f t="shared" si="3"/>
        <v>-6300.7142857142853</v>
      </c>
    </row>
    <row r="73" spans="1:25" s="468" customFormat="1" ht="84.75" customHeight="1" thickBot="1" x14ac:dyDescent="0.25">
      <c r="A73" s="580"/>
      <c r="B73" s="556"/>
      <c r="C73" s="558"/>
      <c r="D73" s="556"/>
      <c r="E73" s="556"/>
      <c r="F73" s="566"/>
      <c r="G73" s="310" t="s">
        <v>231</v>
      </c>
      <c r="H73" s="311" t="s">
        <v>169</v>
      </c>
      <c r="I73" s="310" t="s">
        <v>170</v>
      </c>
      <c r="J73" s="463">
        <v>1</v>
      </c>
      <c r="K73" s="312">
        <v>44136</v>
      </c>
      <c r="L73" s="312">
        <v>44165</v>
      </c>
      <c r="M73" s="313">
        <f t="shared" si="9"/>
        <v>4.1428571428571432</v>
      </c>
      <c r="N73" s="609"/>
      <c r="O73" s="610"/>
      <c r="P73" s="416"/>
      <c r="Q73" s="383" t="s">
        <v>322</v>
      </c>
      <c r="R73" s="384"/>
      <c r="S73" s="385">
        <f t="shared" si="6"/>
        <v>-6305.1428571428569</v>
      </c>
      <c r="T73" s="383" t="s">
        <v>322</v>
      </c>
      <c r="U73" s="384"/>
      <c r="V73" s="385">
        <f t="shared" si="2"/>
        <v>-6305.1428571428569</v>
      </c>
      <c r="W73" s="383" t="s">
        <v>322</v>
      </c>
      <c r="X73" s="384"/>
      <c r="Y73" s="386">
        <f t="shared" si="3"/>
        <v>-6305.1428571428569</v>
      </c>
    </row>
    <row r="74" spans="1:25" s="468" customFormat="1" ht="65.099999999999994" customHeight="1" x14ac:dyDescent="0.2">
      <c r="A74" s="578">
        <v>20</v>
      </c>
      <c r="B74" s="621" t="s">
        <v>132</v>
      </c>
      <c r="C74" s="557" t="s">
        <v>154</v>
      </c>
      <c r="D74" s="555" t="s">
        <v>301</v>
      </c>
      <c r="E74" s="555" t="s">
        <v>302</v>
      </c>
      <c r="F74" s="564" t="s">
        <v>232</v>
      </c>
      <c r="G74" s="326" t="s">
        <v>233</v>
      </c>
      <c r="H74" s="327" t="s">
        <v>314</v>
      </c>
      <c r="I74" s="326" t="s">
        <v>217</v>
      </c>
      <c r="J74" s="448">
        <v>1</v>
      </c>
      <c r="K74" s="315">
        <v>44013</v>
      </c>
      <c r="L74" s="315">
        <v>44135</v>
      </c>
      <c r="M74" s="454">
        <f>(L74-K74)/7</f>
        <v>17.428571428571427</v>
      </c>
      <c r="N74" s="605" t="s">
        <v>243</v>
      </c>
      <c r="O74" s="606"/>
      <c r="P74" s="414"/>
      <c r="Q74" s="375" t="s">
        <v>322</v>
      </c>
      <c r="R74" s="376"/>
      <c r="S74" s="377">
        <f>(R74-K74)/7</f>
        <v>-6287.5714285714284</v>
      </c>
      <c r="T74" s="375" t="s">
        <v>322</v>
      </c>
      <c r="U74" s="376"/>
      <c r="V74" s="377">
        <f t="shared" si="2"/>
        <v>-6287.5714285714284</v>
      </c>
      <c r="W74" s="375" t="s">
        <v>322</v>
      </c>
      <c r="X74" s="376"/>
      <c r="Y74" s="378">
        <f t="shared" si="3"/>
        <v>-6287.5714285714284</v>
      </c>
    </row>
    <row r="75" spans="1:25" s="468" customFormat="1" ht="81.75" customHeight="1" x14ac:dyDescent="0.2">
      <c r="A75" s="579"/>
      <c r="B75" s="615"/>
      <c r="C75" s="577"/>
      <c r="D75" s="563"/>
      <c r="E75" s="563"/>
      <c r="F75" s="565"/>
      <c r="G75" s="331" t="s">
        <v>234</v>
      </c>
      <c r="H75" s="303" t="s">
        <v>313</v>
      </c>
      <c r="I75" s="331" t="s">
        <v>235</v>
      </c>
      <c r="J75" s="449">
        <v>1</v>
      </c>
      <c r="K75" s="308">
        <v>44013</v>
      </c>
      <c r="L75" s="308">
        <v>44135</v>
      </c>
      <c r="M75" s="455">
        <f>(L75-K75)/7</f>
        <v>17.428571428571427</v>
      </c>
      <c r="N75" s="607"/>
      <c r="O75" s="608"/>
      <c r="P75" s="415"/>
      <c r="Q75" s="379" t="s">
        <v>322</v>
      </c>
      <c r="R75" s="380"/>
      <c r="S75" s="381">
        <f t="shared" ref="S75:S99" si="10">(R75-K75)/7</f>
        <v>-6287.5714285714284</v>
      </c>
      <c r="T75" s="379" t="s">
        <v>322</v>
      </c>
      <c r="U75" s="380"/>
      <c r="V75" s="381">
        <f t="shared" si="2"/>
        <v>-6287.5714285714284</v>
      </c>
      <c r="W75" s="379" t="s">
        <v>322</v>
      </c>
      <c r="X75" s="380"/>
      <c r="Y75" s="382">
        <f t="shared" si="3"/>
        <v>-6287.5714285714284</v>
      </c>
    </row>
    <row r="76" spans="1:25" s="468" customFormat="1" ht="54.75" customHeight="1" x14ac:dyDescent="0.2">
      <c r="A76" s="579"/>
      <c r="B76" s="615"/>
      <c r="C76" s="577"/>
      <c r="D76" s="563"/>
      <c r="E76" s="563"/>
      <c r="F76" s="565"/>
      <c r="G76" s="331" t="s">
        <v>236</v>
      </c>
      <c r="H76" s="318" t="s">
        <v>195</v>
      </c>
      <c r="I76" s="331" t="s">
        <v>203</v>
      </c>
      <c r="J76" s="449">
        <v>1</v>
      </c>
      <c r="K76" s="308">
        <v>44135</v>
      </c>
      <c r="L76" s="308">
        <v>44353</v>
      </c>
      <c r="M76" s="455">
        <f>(L76-K76)/7</f>
        <v>31.142857142857142</v>
      </c>
      <c r="N76" s="607"/>
      <c r="O76" s="608"/>
      <c r="P76" s="415"/>
      <c r="Q76" s="379" t="s">
        <v>322</v>
      </c>
      <c r="R76" s="380"/>
      <c r="S76" s="381">
        <f t="shared" si="10"/>
        <v>-6305</v>
      </c>
      <c r="T76" s="379" t="s">
        <v>322</v>
      </c>
      <c r="U76" s="380"/>
      <c r="V76" s="381">
        <f t="shared" si="2"/>
        <v>-6305</v>
      </c>
      <c r="W76" s="379" t="s">
        <v>322</v>
      </c>
      <c r="X76" s="380"/>
      <c r="Y76" s="382">
        <f t="shared" si="3"/>
        <v>-6305</v>
      </c>
    </row>
    <row r="77" spans="1:25" s="468" customFormat="1" ht="48.75" customHeight="1" x14ac:dyDescent="0.2">
      <c r="A77" s="579"/>
      <c r="B77" s="615"/>
      <c r="C77" s="577"/>
      <c r="D77" s="563"/>
      <c r="E77" s="563"/>
      <c r="F77" s="565"/>
      <c r="G77" s="331" t="s">
        <v>237</v>
      </c>
      <c r="H77" s="303" t="s">
        <v>313</v>
      </c>
      <c r="I77" s="331" t="s">
        <v>217</v>
      </c>
      <c r="J77" s="449">
        <v>1</v>
      </c>
      <c r="K77" s="308">
        <v>43984</v>
      </c>
      <c r="L77" s="308">
        <v>44227</v>
      </c>
      <c r="M77" s="455">
        <f t="shared" ref="M77:M82" si="11">(L77-K77)/7</f>
        <v>34.714285714285715</v>
      </c>
      <c r="N77" s="607"/>
      <c r="O77" s="608"/>
      <c r="P77" s="415"/>
      <c r="Q77" s="379" t="s">
        <v>322</v>
      </c>
      <c r="R77" s="380"/>
      <c r="S77" s="381">
        <f t="shared" si="10"/>
        <v>-6283.4285714285716</v>
      </c>
      <c r="T77" s="379" t="s">
        <v>322</v>
      </c>
      <c r="U77" s="380"/>
      <c r="V77" s="381">
        <f t="shared" si="2"/>
        <v>-6283.4285714285716</v>
      </c>
      <c r="W77" s="379" t="s">
        <v>322</v>
      </c>
      <c r="X77" s="380"/>
      <c r="Y77" s="382">
        <f t="shared" si="3"/>
        <v>-6283.4285714285716</v>
      </c>
    </row>
    <row r="78" spans="1:25" s="468" customFormat="1" ht="93.75" customHeight="1" x14ac:dyDescent="0.2">
      <c r="A78" s="579"/>
      <c r="B78" s="615"/>
      <c r="C78" s="577"/>
      <c r="D78" s="563"/>
      <c r="E78" s="563"/>
      <c r="F78" s="565"/>
      <c r="G78" s="331" t="s">
        <v>238</v>
      </c>
      <c r="H78" s="303" t="s">
        <v>313</v>
      </c>
      <c r="I78" s="331" t="s">
        <v>239</v>
      </c>
      <c r="J78" s="449">
        <v>1</v>
      </c>
      <c r="K78" s="308">
        <v>43984</v>
      </c>
      <c r="L78" s="308">
        <v>44227</v>
      </c>
      <c r="M78" s="455">
        <f t="shared" si="11"/>
        <v>34.714285714285715</v>
      </c>
      <c r="N78" s="607"/>
      <c r="O78" s="608"/>
      <c r="P78" s="415"/>
      <c r="Q78" s="379" t="s">
        <v>322</v>
      </c>
      <c r="R78" s="380"/>
      <c r="S78" s="381">
        <f t="shared" si="10"/>
        <v>-6283.4285714285716</v>
      </c>
      <c r="T78" s="379" t="s">
        <v>322</v>
      </c>
      <c r="U78" s="380"/>
      <c r="V78" s="381">
        <f t="shared" si="2"/>
        <v>-6283.4285714285716</v>
      </c>
      <c r="W78" s="379" t="s">
        <v>322</v>
      </c>
      <c r="X78" s="380"/>
      <c r="Y78" s="382">
        <f t="shared" si="3"/>
        <v>-6283.4285714285716</v>
      </c>
    </row>
    <row r="79" spans="1:25" s="468" customFormat="1" ht="45" customHeight="1" x14ac:dyDescent="0.2">
      <c r="A79" s="579"/>
      <c r="B79" s="615"/>
      <c r="C79" s="577"/>
      <c r="D79" s="563"/>
      <c r="E79" s="563"/>
      <c r="F79" s="565"/>
      <c r="G79" s="331" t="s">
        <v>240</v>
      </c>
      <c r="H79" s="303" t="s">
        <v>169</v>
      </c>
      <c r="I79" s="331" t="s">
        <v>217</v>
      </c>
      <c r="J79" s="449">
        <v>1</v>
      </c>
      <c r="K79" s="308">
        <v>44044</v>
      </c>
      <c r="L79" s="308">
        <v>44227</v>
      </c>
      <c r="M79" s="455">
        <f t="shared" si="11"/>
        <v>26.142857142857142</v>
      </c>
      <c r="N79" s="607"/>
      <c r="O79" s="608"/>
      <c r="P79" s="415"/>
      <c r="Q79" s="379" t="s">
        <v>322</v>
      </c>
      <c r="R79" s="380"/>
      <c r="S79" s="381">
        <f t="shared" si="10"/>
        <v>-6292</v>
      </c>
      <c r="T79" s="379" t="s">
        <v>322</v>
      </c>
      <c r="U79" s="380"/>
      <c r="V79" s="381">
        <f t="shared" ref="V79:V116" si="12">(U79-K79)/7</f>
        <v>-6292</v>
      </c>
      <c r="W79" s="379" t="s">
        <v>322</v>
      </c>
      <c r="X79" s="380"/>
      <c r="Y79" s="382">
        <f t="shared" ref="Y79:Y116" si="13">(X79-K79)/7</f>
        <v>-6292</v>
      </c>
    </row>
    <row r="80" spans="1:25" s="468" customFormat="1" ht="84.75" customHeight="1" x14ac:dyDescent="0.2">
      <c r="A80" s="579"/>
      <c r="B80" s="615"/>
      <c r="C80" s="577"/>
      <c r="D80" s="563"/>
      <c r="E80" s="563"/>
      <c r="F80" s="565"/>
      <c r="G80" s="331" t="s">
        <v>241</v>
      </c>
      <c r="H80" s="303" t="s">
        <v>169</v>
      </c>
      <c r="I80" s="331" t="s">
        <v>239</v>
      </c>
      <c r="J80" s="449">
        <v>1</v>
      </c>
      <c r="K80" s="308">
        <v>44044</v>
      </c>
      <c r="L80" s="308">
        <v>44227</v>
      </c>
      <c r="M80" s="455">
        <f t="shared" si="11"/>
        <v>26.142857142857142</v>
      </c>
      <c r="N80" s="607"/>
      <c r="O80" s="608"/>
      <c r="P80" s="415"/>
      <c r="Q80" s="379" t="s">
        <v>322</v>
      </c>
      <c r="R80" s="380"/>
      <c r="S80" s="381">
        <f t="shared" si="10"/>
        <v>-6292</v>
      </c>
      <c r="T80" s="379" t="s">
        <v>322</v>
      </c>
      <c r="U80" s="380"/>
      <c r="V80" s="381">
        <f t="shared" si="12"/>
        <v>-6292</v>
      </c>
      <c r="W80" s="379" t="s">
        <v>322</v>
      </c>
      <c r="X80" s="380"/>
      <c r="Y80" s="382">
        <f t="shared" si="13"/>
        <v>-6292</v>
      </c>
    </row>
    <row r="81" spans="1:25" s="468" customFormat="1" ht="97.5" customHeight="1" x14ac:dyDescent="0.2">
      <c r="A81" s="579"/>
      <c r="B81" s="563"/>
      <c r="C81" s="577"/>
      <c r="D81" s="563"/>
      <c r="E81" s="563"/>
      <c r="F81" s="565"/>
      <c r="G81" s="331" t="s">
        <v>265</v>
      </c>
      <c r="H81" s="318" t="s">
        <v>195</v>
      </c>
      <c r="I81" s="331" t="s">
        <v>242</v>
      </c>
      <c r="J81" s="449">
        <v>2</v>
      </c>
      <c r="K81" s="308">
        <v>43984</v>
      </c>
      <c r="L81" s="308">
        <v>44349</v>
      </c>
      <c r="M81" s="455">
        <f t="shared" si="11"/>
        <v>52.142857142857146</v>
      </c>
      <c r="N81" s="607"/>
      <c r="O81" s="608"/>
      <c r="P81" s="415"/>
      <c r="Q81" s="379" t="s">
        <v>322</v>
      </c>
      <c r="R81" s="380"/>
      <c r="S81" s="381">
        <f t="shared" si="10"/>
        <v>-6283.4285714285716</v>
      </c>
      <c r="T81" s="379" t="s">
        <v>322</v>
      </c>
      <c r="U81" s="380"/>
      <c r="V81" s="381">
        <f t="shared" si="12"/>
        <v>-6283.4285714285716</v>
      </c>
      <c r="W81" s="379" t="s">
        <v>322</v>
      </c>
      <c r="X81" s="380"/>
      <c r="Y81" s="382">
        <f t="shared" si="13"/>
        <v>-6283.4285714285716</v>
      </c>
    </row>
    <row r="82" spans="1:25" s="468" customFormat="1" ht="65.099999999999994" customHeight="1" thickBot="1" x14ac:dyDescent="0.25">
      <c r="A82" s="580"/>
      <c r="B82" s="556"/>
      <c r="C82" s="558"/>
      <c r="D82" s="556"/>
      <c r="E82" s="556"/>
      <c r="F82" s="566"/>
      <c r="G82" s="334" t="s">
        <v>251</v>
      </c>
      <c r="H82" s="311" t="s">
        <v>315</v>
      </c>
      <c r="I82" s="334" t="s">
        <v>217</v>
      </c>
      <c r="J82" s="453">
        <v>3</v>
      </c>
      <c r="K82" s="312">
        <v>44197</v>
      </c>
      <c r="L82" s="312">
        <v>44530</v>
      </c>
      <c r="M82" s="456">
        <f t="shared" si="11"/>
        <v>47.571428571428569</v>
      </c>
      <c r="N82" s="609"/>
      <c r="O82" s="610"/>
      <c r="P82" s="416"/>
      <c r="Q82" s="383" t="s">
        <v>322</v>
      </c>
      <c r="R82" s="384"/>
      <c r="S82" s="385">
        <f t="shared" si="10"/>
        <v>-6313.8571428571431</v>
      </c>
      <c r="T82" s="383" t="s">
        <v>322</v>
      </c>
      <c r="U82" s="384"/>
      <c r="V82" s="385">
        <f t="shared" si="12"/>
        <v>-6313.8571428571431</v>
      </c>
      <c r="W82" s="383" t="s">
        <v>322</v>
      </c>
      <c r="X82" s="384"/>
      <c r="Y82" s="386">
        <f t="shared" si="13"/>
        <v>-6313.8571428571431</v>
      </c>
    </row>
    <row r="83" spans="1:25" s="468" customFormat="1" ht="65.099999999999994" customHeight="1" x14ac:dyDescent="0.2">
      <c r="A83" s="578">
        <v>21</v>
      </c>
      <c r="B83" s="621" t="s">
        <v>133</v>
      </c>
      <c r="C83" s="557" t="s">
        <v>155</v>
      </c>
      <c r="D83" s="555" t="s">
        <v>303</v>
      </c>
      <c r="E83" s="555" t="s">
        <v>304</v>
      </c>
      <c r="F83" s="564" t="s">
        <v>250</v>
      </c>
      <c r="G83" s="326" t="s">
        <v>244</v>
      </c>
      <c r="H83" s="327" t="s">
        <v>214</v>
      </c>
      <c r="I83" s="448" t="s">
        <v>245</v>
      </c>
      <c r="J83" s="448">
        <v>2</v>
      </c>
      <c r="K83" s="328">
        <v>44078</v>
      </c>
      <c r="L83" s="328">
        <v>44099</v>
      </c>
      <c r="M83" s="330">
        <f>+(L83-K83)/7</f>
        <v>3</v>
      </c>
      <c r="N83" s="687"/>
      <c r="O83" s="688"/>
      <c r="P83" s="414"/>
      <c r="Q83" s="375" t="s">
        <v>322</v>
      </c>
      <c r="R83" s="376"/>
      <c r="S83" s="377">
        <f t="shared" si="10"/>
        <v>-6296.8571428571431</v>
      </c>
      <c r="T83" s="375" t="s">
        <v>322</v>
      </c>
      <c r="U83" s="376"/>
      <c r="V83" s="377">
        <f t="shared" si="12"/>
        <v>-6296.8571428571431</v>
      </c>
      <c r="W83" s="375" t="s">
        <v>322</v>
      </c>
      <c r="X83" s="376"/>
      <c r="Y83" s="378">
        <f t="shared" si="13"/>
        <v>-6296.8571428571431</v>
      </c>
    </row>
    <row r="84" spans="1:25" s="468" customFormat="1" ht="65.099999999999994" customHeight="1" x14ac:dyDescent="0.2">
      <c r="A84" s="579"/>
      <c r="B84" s="615"/>
      <c r="C84" s="577"/>
      <c r="D84" s="563"/>
      <c r="E84" s="563"/>
      <c r="F84" s="565"/>
      <c r="G84" s="331" t="s">
        <v>246</v>
      </c>
      <c r="H84" s="303" t="s">
        <v>214</v>
      </c>
      <c r="I84" s="449" t="s">
        <v>247</v>
      </c>
      <c r="J84" s="449">
        <v>1</v>
      </c>
      <c r="K84" s="344">
        <v>44102</v>
      </c>
      <c r="L84" s="344">
        <v>44120</v>
      </c>
      <c r="M84" s="333">
        <f>+(L84-K84)/7</f>
        <v>2.5714285714285716</v>
      </c>
      <c r="N84" s="689"/>
      <c r="O84" s="690"/>
      <c r="P84" s="415"/>
      <c r="Q84" s="379" t="s">
        <v>322</v>
      </c>
      <c r="R84" s="380"/>
      <c r="S84" s="381">
        <f t="shared" si="10"/>
        <v>-6300.2857142857147</v>
      </c>
      <c r="T84" s="379" t="s">
        <v>322</v>
      </c>
      <c r="U84" s="380"/>
      <c r="V84" s="381">
        <f t="shared" si="12"/>
        <v>-6300.2857142857147</v>
      </c>
      <c r="W84" s="379" t="s">
        <v>322</v>
      </c>
      <c r="X84" s="380"/>
      <c r="Y84" s="382">
        <f t="shared" si="13"/>
        <v>-6300.2857142857147</v>
      </c>
    </row>
    <row r="85" spans="1:25" s="468" customFormat="1" ht="65.099999999999994" customHeight="1" x14ac:dyDescent="0.2">
      <c r="A85" s="579"/>
      <c r="B85" s="563"/>
      <c r="C85" s="577"/>
      <c r="D85" s="563"/>
      <c r="E85" s="563"/>
      <c r="F85" s="565"/>
      <c r="G85" s="331" t="s">
        <v>248</v>
      </c>
      <c r="H85" s="303" t="s">
        <v>214</v>
      </c>
      <c r="I85" s="449" t="s">
        <v>245</v>
      </c>
      <c r="J85" s="449">
        <v>2</v>
      </c>
      <c r="K85" s="344">
        <v>44123</v>
      </c>
      <c r="L85" s="344">
        <v>44138</v>
      </c>
      <c r="M85" s="333">
        <f>+(L85-K85)/7</f>
        <v>2.1428571428571428</v>
      </c>
      <c r="N85" s="689"/>
      <c r="O85" s="690"/>
      <c r="P85" s="415"/>
      <c r="Q85" s="379" t="s">
        <v>322</v>
      </c>
      <c r="R85" s="380"/>
      <c r="S85" s="381">
        <f t="shared" si="10"/>
        <v>-6303.2857142857147</v>
      </c>
      <c r="T85" s="379" t="s">
        <v>322</v>
      </c>
      <c r="U85" s="380"/>
      <c r="V85" s="381">
        <f t="shared" si="12"/>
        <v>-6303.2857142857147</v>
      </c>
      <c r="W85" s="379" t="s">
        <v>322</v>
      </c>
      <c r="X85" s="380"/>
      <c r="Y85" s="382">
        <f t="shared" si="13"/>
        <v>-6303.2857142857147</v>
      </c>
    </row>
    <row r="86" spans="1:25" s="468" customFormat="1" ht="65.099999999999994" customHeight="1" thickBot="1" x14ac:dyDescent="0.25">
      <c r="A86" s="678"/>
      <c r="B86" s="680"/>
      <c r="C86" s="681"/>
      <c r="D86" s="680"/>
      <c r="E86" s="680"/>
      <c r="F86" s="682"/>
      <c r="G86" s="483" t="s">
        <v>249</v>
      </c>
      <c r="H86" s="484" t="s">
        <v>214</v>
      </c>
      <c r="I86" s="485" t="s">
        <v>217</v>
      </c>
      <c r="J86" s="485">
        <v>1</v>
      </c>
      <c r="K86" s="486">
        <v>44139</v>
      </c>
      <c r="L86" s="486">
        <v>44316</v>
      </c>
      <c r="M86" s="487">
        <f>+(L86-K86)/7</f>
        <v>25.285714285714285</v>
      </c>
      <c r="N86" s="685" t="s">
        <v>455</v>
      </c>
      <c r="O86" s="686"/>
      <c r="P86" s="416"/>
      <c r="Q86" s="383" t="s">
        <v>322</v>
      </c>
      <c r="R86" s="384"/>
      <c r="S86" s="385">
        <f t="shared" si="10"/>
        <v>-6305.5714285714284</v>
      </c>
      <c r="T86" s="383" t="s">
        <v>322</v>
      </c>
      <c r="U86" s="384"/>
      <c r="V86" s="385">
        <f t="shared" si="12"/>
        <v>-6305.5714285714284</v>
      </c>
      <c r="W86" s="383" t="s">
        <v>322</v>
      </c>
      <c r="X86" s="384"/>
      <c r="Y86" s="386">
        <f t="shared" si="13"/>
        <v>-6305.5714285714284</v>
      </c>
    </row>
    <row r="87" spans="1:25" s="468" customFormat="1" ht="65.099999999999994" customHeight="1" x14ac:dyDescent="0.2">
      <c r="A87" s="613">
        <v>22</v>
      </c>
      <c r="B87" s="614" t="s">
        <v>134</v>
      </c>
      <c r="C87" s="617" t="s">
        <v>156</v>
      </c>
      <c r="D87" s="618" t="s">
        <v>305</v>
      </c>
      <c r="E87" s="618" t="s">
        <v>306</v>
      </c>
      <c r="F87" s="576" t="s">
        <v>252</v>
      </c>
      <c r="G87" s="488" t="s">
        <v>253</v>
      </c>
      <c r="H87" s="488" t="s">
        <v>254</v>
      </c>
      <c r="I87" s="302" t="s">
        <v>170</v>
      </c>
      <c r="J87" s="480">
        <v>1</v>
      </c>
      <c r="K87" s="489">
        <v>44040</v>
      </c>
      <c r="L87" s="489">
        <v>44073</v>
      </c>
      <c r="M87" s="490">
        <f>+(L87-K87)/7</f>
        <v>4.7142857142857144</v>
      </c>
      <c r="N87" s="683" t="s">
        <v>87</v>
      </c>
      <c r="O87" s="684"/>
      <c r="P87" s="414"/>
      <c r="Q87" s="375" t="s">
        <v>322</v>
      </c>
      <c r="R87" s="376"/>
      <c r="S87" s="377">
        <f t="shared" si="10"/>
        <v>-6291.4285714285716</v>
      </c>
      <c r="T87" s="375" t="s">
        <v>322</v>
      </c>
      <c r="U87" s="376"/>
      <c r="V87" s="377">
        <f t="shared" si="12"/>
        <v>-6291.4285714285716</v>
      </c>
      <c r="W87" s="375" t="s">
        <v>322</v>
      </c>
      <c r="X87" s="376"/>
      <c r="Y87" s="378">
        <f t="shared" si="13"/>
        <v>-6291.4285714285716</v>
      </c>
    </row>
    <row r="88" spans="1:25" s="468" customFormat="1" ht="65.099999999999994" customHeight="1" x14ac:dyDescent="0.2">
      <c r="A88" s="579"/>
      <c r="B88" s="615"/>
      <c r="C88" s="577"/>
      <c r="D88" s="563"/>
      <c r="E88" s="563"/>
      <c r="F88" s="565"/>
      <c r="G88" s="331" t="s">
        <v>383</v>
      </c>
      <c r="H88" s="303" t="s">
        <v>254</v>
      </c>
      <c r="I88" s="307" t="s">
        <v>255</v>
      </c>
      <c r="J88" s="478">
        <v>1</v>
      </c>
      <c r="K88" s="344">
        <v>44033</v>
      </c>
      <c r="L88" s="482">
        <v>44165</v>
      </c>
      <c r="M88" s="481">
        <f t="shared" ref="M88:M100" si="14">+(L88-K88)/7</f>
        <v>18.857142857142858</v>
      </c>
      <c r="N88" s="607" t="s">
        <v>456</v>
      </c>
      <c r="O88" s="608"/>
      <c r="P88" s="415" t="s">
        <v>416</v>
      </c>
      <c r="Q88" s="379" t="s">
        <v>417</v>
      </c>
      <c r="R88" s="380">
        <v>44165</v>
      </c>
      <c r="S88" s="381">
        <f>(R88-K88)/7</f>
        <v>18.857142857142858</v>
      </c>
      <c r="T88" s="379" t="s">
        <v>322</v>
      </c>
      <c r="U88" s="380"/>
      <c r="V88" s="381">
        <f t="shared" si="12"/>
        <v>-6290.4285714285716</v>
      </c>
      <c r="W88" s="379" t="s">
        <v>322</v>
      </c>
      <c r="X88" s="380"/>
      <c r="Y88" s="382">
        <f t="shared" si="13"/>
        <v>-6290.4285714285716</v>
      </c>
    </row>
    <row r="89" spans="1:25" s="468" customFormat="1" ht="65.099999999999994" customHeight="1" x14ac:dyDescent="0.2">
      <c r="A89" s="579"/>
      <c r="B89" s="615"/>
      <c r="C89" s="577"/>
      <c r="D89" s="563"/>
      <c r="E89" s="563"/>
      <c r="F89" s="565"/>
      <c r="G89" s="331" t="s">
        <v>256</v>
      </c>
      <c r="H89" s="303" t="s">
        <v>254</v>
      </c>
      <c r="I89" s="307" t="s">
        <v>170</v>
      </c>
      <c r="J89" s="478">
        <v>2</v>
      </c>
      <c r="K89" s="344">
        <v>44013</v>
      </c>
      <c r="L89" s="344">
        <v>44165</v>
      </c>
      <c r="M89" s="481">
        <f t="shared" si="14"/>
        <v>21.714285714285715</v>
      </c>
      <c r="N89" s="607"/>
      <c r="O89" s="608"/>
      <c r="P89" s="415"/>
      <c r="Q89" s="379" t="s">
        <v>322</v>
      </c>
      <c r="R89" s="380"/>
      <c r="S89" s="381">
        <f t="shared" si="10"/>
        <v>-6287.5714285714284</v>
      </c>
      <c r="T89" s="379" t="s">
        <v>322</v>
      </c>
      <c r="U89" s="380"/>
      <c r="V89" s="381">
        <f t="shared" si="12"/>
        <v>-6287.5714285714284</v>
      </c>
      <c r="W89" s="379" t="s">
        <v>322</v>
      </c>
      <c r="X89" s="380"/>
      <c r="Y89" s="382">
        <f t="shared" si="13"/>
        <v>-6287.5714285714284</v>
      </c>
    </row>
    <row r="90" spans="1:25" s="468" customFormat="1" ht="49.5" customHeight="1" x14ac:dyDescent="0.2">
      <c r="A90" s="579"/>
      <c r="B90" s="615"/>
      <c r="C90" s="577"/>
      <c r="D90" s="563"/>
      <c r="E90" s="563"/>
      <c r="F90" s="565" t="s">
        <v>257</v>
      </c>
      <c r="G90" s="331" t="s">
        <v>258</v>
      </c>
      <c r="H90" s="303" t="s">
        <v>254</v>
      </c>
      <c r="I90" s="307" t="s">
        <v>255</v>
      </c>
      <c r="J90" s="478">
        <v>3</v>
      </c>
      <c r="K90" s="344">
        <v>44049</v>
      </c>
      <c r="L90" s="344">
        <v>44134</v>
      </c>
      <c r="M90" s="481">
        <f t="shared" si="14"/>
        <v>12.142857142857142</v>
      </c>
      <c r="N90" s="691" t="s">
        <v>264</v>
      </c>
      <c r="O90" s="692"/>
      <c r="P90" s="415"/>
      <c r="Q90" s="379" t="s">
        <v>322</v>
      </c>
      <c r="R90" s="380"/>
      <c r="S90" s="381">
        <f t="shared" si="10"/>
        <v>-6292.7142857142853</v>
      </c>
      <c r="T90" s="379" t="s">
        <v>322</v>
      </c>
      <c r="U90" s="380"/>
      <c r="V90" s="381">
        <f t="shared" si="12"/>
        <v>-6292.7142857142853</v>
      </c>
      <c r="W90" s="379" t="s">
        <v>322</v>
      </c>
      <c r="X90" s="380"/>
      <c r="Y90" s="382">
        <f t="shared" si="13"/>
        <v>-6292.7142857142853</v>
      </c>
    </row>
    <row r="91" spans="1:25" s="468" customFormat="1" ht="65.099999999999994" customHeight="1" x14ac:dyDescent="0.2">
      <c r="A91" s="579"/>
      <c r="B91" s="615"/>
      <c r="C91" s="577"/>
      <c r="D91" s="563"/>
      <c r="E91" s="563"/>
      <c r="F91" s="565"/>
      <c r="G91" s="331" t="s">
        <v>259</v>
      </c>
      <c r="H91" s="303" t="s">
        <v>254</v>
      </c>
      <c r="I91" s="307" t="s">
        <v>255</v>
      </c>
      <c r="J91" s="478">
        <v>1</v>
      </c>
      <c r="K91" s="344">
        <v>44256</v>
      </c>
      <c r="L91" s="344">
        <v>44285</v>
      </c>
      <c r="M91" s="481">
        <f t="shared" si="14"/>
        <v>4.1428571428571432</v>
      </c>
      <c r="N91" s="505"/>
      <c r="O91" s="506"/>
      <c r="P91" s="415"/>
      <c r="Q91" s="379" t="s">
        <v>322</v>
      </c>
      <c r="R91" s="380"/>
      <c r="S91" s="381">
        <f t="shared" si="10"/>
        <v>-6322.2857142857147</v>
      </c>
      <c r="T91" s="379" t="s">
        <v>322</v>
      </c>
      <c r="U91" s="380"/>
      <c r="V91" s="381">
        <f t="shared" si="12"/>
        <v>-6322.2857142857147</v>
      </c>
      <c r="W91" s="379" t="s">
        <v>322</v>
      </c>
      <c r="X91" s="380"/>
      <c r="Y91" s="382">
        <f t="shared" si="13"/>
        <v>-6322.2857142857147</v>
      </c>
    </row>
    <row r="92" spans="1:25" s="468" customFormat="1" ht="36" customHeight="1" x14ac:dyDescent="0.2">
      <c r="A92" s="579"/>
      <c r="B92" s="615"/>
      <c r="C92" s="577"/>
      <c r="D92" s="563"/>
      <c r="E92" s="563"/>
      <c r="F92" s="565"/>
      <c r="G92" s="331" t="s">
        <v>260</v>
      </c>
      <c r="H92" s="303" t="s">
        <v>254</v>
      </c>
      <c r="I92" s="307" t="s">
        <v>261</v>
      </c>
      <c r="J92" s="478">
        <v>1</v>
      </c>
      <c r="K92" s="344">
        <v>44287</v>
      </c>
      <c r="L92" s="344">
        <v>44346</v>
      </c>
      <c r="M92" s="481">
        <f t="shared" si="14"/>
        <v>8.4285714285714288</v>
      </c>
      <c r="N92" s="505"/>
      <c r="O92" s="506"/>
      <c r="P92" s="415"/>
      <c r="Q92" s="379" t="s">
        <v>322</v>
      </c>
      <c r="R92" s="380"/>
      <c r="S92" s="381">
        <f t="shared" si="10"/>
        <v>-6326.7142857142853</v>
      </c>
      <c r="T92" s="379" t="s">
        <v>322</v>
      </c>
      <c r="U92" s="380"/>
      <c r="V92" s="381">
        <f t="shared" si="12"/>
        <v>-6326.7142857142853</v>
      </c>
      <c r="W92" s="379" t="s">
        <v>322</v>
      </c>
      <c r="X92" s="380"/>
      <c r="Y92" s="382">
        <f t="shared" si="13"/>
        <v>-6326.7142857142853</v>
      </c>
    </row>
    <row r="93" spans="1:25" s="468" customFormat="1" ht="36" customHeight="1" thickBot="1" x14ac:dyDescent="0.25">
      <c r="A93" s="678"/>
      <c r="B93" s="679"/>
      <c r="C93" s="681"/>
      <c r="D93" s="680"/>
      <c r="E93" s="680"/>
      <c r="F93" s="682"/>
      <c r="G93" s="483" t="s">
        <v>262</v>
      </c>
      <c r="H93" s="484" t="s">
        <v>254</v>
      </c>
      <c r="I93" s="491" t="s">
        <v>263</v>
      </c>
      <c r="J93" s="485">
        <v>2</v>
      </c>
      <c r="K93" s="486">
        <v>44348</v>
      </c>
      <c r="L93" s="486">
        <v>44377</v>
      </c>
      <c r="M93" s="492">
        <f t="shared" si="14"/>
        <v>4.1428571428571432</v>
      </c>
      <c r="N93" s="507"/>
      <c r="O93" s="508"/>
      <c r="P93" s="416"/>
      <c r="Q93" s="383" t="s">
        <v>322</v>
      </c>
      <c r="R93" s="384"/>
      <c r="S93" s="385">
        <f t="shared" si="10"/>
        <v>-6335.4285714285716</v>
      </c>
      <c r="T93" s="383" t="s">
        <v>322</v>
      </c>
      <c r="U93" s="384"/>
      <c r="V93" s="385">
        <f t="shared" si="12"/>
        <v>-6335.4285714285716</v>
      </c>
      <c r="W93" s="383" t="s">
        <v>322</v>
      </c>
      <c r="X93" s="384"/>
      <c r="Y93" s="386">
        <f t="shared" si="13"/>
        <v>-6335.4285714285716</v>
      </c>
    </row>
    <row r="94" spans="1:25" ht="67.5" customHeight="1" x14ac:dyDescent="0.2">
      <c r="A94" s="613">
        <v>23</v>
      </c>
      <c r="B94" s="614" t="s">
        <v>326</v>
      </c>
      <c r="C94" s="617" t="s">
        <v>414</v>
      </c>
      <c r="D94" s="618" t="s">
        <v>351</v>
      </c>
      <c r="E94" s="618" t="s">
        <v>352</v>
      </c>
      <c r="F94" s="619" t="s">
        <v>328</v>
      </c>
      <c r="G94" s="302" t="s">
        <v>329</v>
      </c>
      <c r="H94" s="493" t="s">
        <v>327</v>
      </c>
      <c r="I94" s="494" t="s">
        <v>170</v>
      </c>
      <c r="J94" s="494">
        <v>1</v>
      </c>
      <c r="K94" s="495">
        <v>43676</v>
      </c>
      <c r="L94" s="489">
        <v>43677</v>
      </c>
      <c r="M94" s="496">
        <f t="shared" si="14"/>
        <v>0.14285714285714285</v>
      </c>
      <c r="N94" s="727" t="s">
        <v>452</v>
      </c>
      <c r="O94" s="728"/>
      <c r="P94" s="417"/>
      <c r="Q94" s="375" t="s">
        <v>322</v>
      </c>
      <c r="R94" s="376"/>
      <c r="S94" s="377">
        <f t="shared" si="10"/>
        <v>-6239.4285714285716</v>
      </c>
      <c r="T94" s="375" t="s">
        <v>322</v>
      </c>
      <c r="U94" s="387"/>
      <c r="V94" s="377">
        <f t="shared" si="12"/>
        <v>-6239.4285714285716</v>
      </c>
      <c r="W94" s="375" t="s">
        <v>322</v>
      </c>
      <c r="X94" s="387"/>
      <c r="Y94" s="378">
        <f t="shared" si="13"/>
        <v>-6239.4285714285716</v>
      </c>
    </row>
    <row r="95" spans="1:25" ht="147" customHeight="1" x14ac:dyDescent="0.2">
      <c r="A95" s="579"/>
      <c r="B95" s="615"/>
      <c r="C95" s="577"/>
      <c r="D95" s="563"/>
      <c r="E95" s="563"/>
      <c r="F95" s="590"/>
      <c r="G95" s="307" t="s">
        <v>330</v>
      </c>
      <c r="H95" s="345" t="s">
        <v>482</v>
      </c>
      <c r="I95" s="320" t="s">
        <v>170</v>
      </c>
      <c r="J95" s="320">
        <v>1</v>
      </c>
      <c r="K95" s="346">
        <v>44055</v>
      </c>
      <c r="L95" s="344">
        <v>44286</v>
      </c>
      <c r="M95" s="347">
        <f t="shared" si="14"/>
        <v>33</v>
      </c>
      <c r="N95" s="729" t="s">
        <v>457</v>
      </c>
      <c r="O95" s="730"/>
      <c r="P95" s="418"/>
      <c r="Q95" s="379" t="s">
        <v>322</v>
      </c>
      <c r="R95" s="380"/>
      <c r="S95" s="381">
        <f t="shared" si="10"/>
        <v>-6293.5714285714284</v>
      </c>
      <c r="T95" s="379" t="s">
        <v>322</v>
      </c>
      <c r="U95" s="388"/>
      <c r="V95" s="381">
        <f t="shared" si="12"/>
        <v>-6293.5714285714284</v>
      </c>
      <c r="W95" s="379" t="s">
        <v>322</v>
      </c>
      <c r="X95" s="388"/>
      <c r="Y95" s="382">
        <f t="shared" si="13"/>
        <v>-6293.5714285714284</v>
      </c>
    </row>
    <row r="96" spans="1:25" ht="152.25" customHeight="1" x14ac:dyDescent="0.2">
      <c r="A96" s="579"/>
      <c r="B96" s="615"/>
      <c r="C96" s="577"/>
      <c r="D96" s="563"/>
      <c r="E96" s="563"/>
      <c r="F96" s="590"/>
      <c r="G96" s="307" t="s">
        <v>331</v>
      </c>
      <c r="H96" s="345" t="s">
        <v>482</v>
      </c>
      <c r="I96" s="479" t="s">
        <v>332</v>
      </c>
      <c r="J96" s="320">
        <v>1</v>
      </c>
      <c r="K96" s="346">
        <v>44055</v>
      </c>
      <c r="L96" s="344">
        <v>44286</v>
      </c>
      <c r="M96" s="347">
        <f t="shared" si="14"/>
        <v>33</v>
      </c>
      <c r="N96" s="729" t="s">
        <v>457</v>
      </c>
      <c r="O96" s="730"/>
      <c r="P96" s="418"/>
      <c r="Q96" s="379" t="s">
        <v>322</v>
      </c>
      <c r="R96" s="380"/>
      <c r="S96" s="381">
        <f t="shared" si="10"/>
        <v>-6293.5714285714284</v>
      </c>
      <c r="T96" s="379" t="s">
        <v>322</v>
      </c>
      <c r="U96" s="388"/>
      <c r="V96" s="381">
        <f t="shared" si="12"/>
        <v>-6293.5714285714284</v>
      </c>
      <c r="W96" s="379" t="s">
        <v>322</v>
      </c>
      <c r="X96" s="388"/>
      <c r="Y96" s="382">
        <f t="shared" si="13"/>
        <v>-6293.5714285714284</v>
      </c>
    </row>
    <row r="97" spans="1:25" ht="145.5" customHeight="1" thickBot="1" x14ac:dyDescent="0.25">
      <c r="A97" s="580"/>
      <c r="B97" s="616"/>
      <c r="C97" s="558"/>
      <c r="D97" s="556"/>
      <c r="E97" s="556"/>
      <c r="F97" s="562"/>
      <c r="G97" s="310" t="s">
        <v>333</v>
      </c>
      <c r="H97" s="348" t="s">
        <v>482</v>
      </c>
      <c r="I97" s="321" t="s">
        <v>170</v>
      </c>
      <c r="J97" s="321">
        <v>1</v>
      </c>
      <c r="K97" s="349">
        <v>44055</v>
      </c>
      <c r="L97" s="335">
        <v>44347</v>
      </c>
      <c r="M97" s="350">
        <f t="shared" si="14"/>
        <v>41.714285714285715</v>
      </c>
      <c r="N97" s="731" t="s">
        <v>458</v>
      </c>
      <c r="O97" s="732"/>
      <c r="P97" s="419"/>
      <c r="Q97" s="383" t="s">
        <v>322</v>
      </c>
      <c r="R97" s="384"/>
      <c r="S97" s="385">
        <f t="shared" si="10"/>
        <v>-6293.5714285714284</v>
      </c>
      <c r="T97" s="383" t="s">
        <v>322</v>
      </c>
      <c r="U97" s="389"/>
      <c r="V97" s="385">
        <f t="shared" si="12"/>
        <v>-6293.5714285714284</v>
      </c>
      <c r="W97" s="383" t="s">
        <v>322</v>
      </c>
      <c r="X97" s="389"/>
      <c r="Y97" s="386">
        <f t="shared" si="13"/>
        <v>-6293.5714285714284</v>
      </c>
    </row>
    <row r="98" spans="1:25" ht="96" customHeight="1" x14ac:dyDescent="0.2">
      <c r="A98" s="581">
        <v>24</v>
      </c>
      <c r="B98" s="567" t="s">
        <v>353</v>
      </c>
      <c r="C98" s="557" t="s">
        <v>412</v>
      </c>
      <c r="D98" s="555" t="s">
        <v>350</v>
      </c>
      <c r="E98" s="555" t="s">
        <v>354</v>
      </c>
      <c r="F98" s="561" t="s">
        <v>335</v>
      </c>
      <c r="G98" s="314" t="s">
        <v>339</v>
      </c>
      <c r="H98" s="351" t="s">
        <v>336</v>
      </c>
      <c r="I98" s="317" t="s">
        <v>170</v>
      </c>
      <c r="J98" s="317">
        <v>1</v>
      </c>
      <c r="K98" s="352">
        <v>43675</v>
      </c>
      <c r="L98" s="328">
        <v>43676</v>
      </c>
      <c r="M98" s="353">
        <f t="shared" si="14"/>
        <v>0.14285714285714285</v>
      </c>
      <c r="N98" s="583" t="s">
        <v>459</v>
      </c>
      <c r="O98" s="584"/>
      <c r="P98" s="417"/>
      <c r="Q98" s="375" t="s">
        <v>322</v>
      </c>
      <c r="R98" s="376"/>
      <c r="S98" s="377">
        <f t="shared" si="10"/>
        <v>-6239.2857142857147</v>
      </c>
      <c r="T98" s="375" t="s">
        <v>322</v>
      </c>
      <c r="U98" s="387"/>
      <c r="V98" s="377">
        <f t="shared" si="12"/>
        <v>-6239.2857142857147</v>
      </c>
      <c r="W98" s="375" t="s">
        <v>322</v>
      </c>
      <c r="X98" s="387"/>
      <c r="Y98" s="378">
        <f t="shared" si="13"/>
        <v>-6239.2857142857147</v>
      </c>
    </row>
    <row r="99" spans="1:25" ht="108" x14ac:dyDescent="0.2">
      <c r="A99" s="589"/>
      <c r="B99" s="568"/>
      <c r="C99" s="577"/>
      <c r="D99" s="563"/>
      <c r="E99" s="563"/>
      <c r="F99" s="590"/>
      <c r="G99" s="307" t="s">
        <v>340</v>
      </c>
      <c r="H99" s="318" t="s">
        <v>337</v>
      </c>
      <c r="I99" s="320" t="s">
        <v>338</v>
      </c>
      <c r="J99" s="320">
        <v>1</v>
      </c>
      <c r="K99" s="346">
        <v>44055</v>
      </c>
      <c r="L99" s="344">
        <v>44104</v>
      </c>
      <c r="M99" s="347">
        <f t="shared" si="14"/>
        <v>7</v>
      </c>
      <c r="N99" s="585"/>
      <c r="O99" s="586"/>
      <c r="P99" s="418"/>
      <c r="Q99" s="379" t="s">
        <v>322</v>
      </c>
      <c r="R99" s="380"/>
      <c r="S99" s="381">
        <f t="shared" si="10"/>
        <v>-6293.5714285714284</v>
      </c>
      <c r="T99" s="379" t="s">
        <v>322</v>
      </c>
      <c r="U99" s="388"/>
      <c r="V99" s="381">
        <f t="shared" si="12"/>
        <v>-6293.5714285714284</v>
      </c>
      <c r="W99" s="379" t="s">
        <v>322</v>
      </c>
      <c r="X99" s="388"/>
      <c r="Y99" s="382">
        <f t="shared" si="13"/>
        <v>-6293.5714285714284</v>
      </c>
    </row>
    <row r="100" spans="1:25" ht="47.25" customHeight="1" thickBot="1" x14ac:dyDescent="0.25">
      <c r="A100" s="582"/>
      <c r="B100" s="569"/>
      <c r="C100" s="558"/>
      <c r="D100" s="556"/>
      <c r="E100" s="556"/>
      <c r="F100" s="562"/>
      <c r="G100" s="310" t="s">
        <v>341</v>
      </c>
      <c r="H100" s="348" t="s">
        <v>336</v>
      </c>
      <c r="I100" s="321" t="s">
        <v>170</v>
      </c>
      <c r="J100" s="321">
        <v>3</v>
      </c>
      <c r="K100" s="349">
        <v>44055</v>
      </c>
      <c r="L100" s="335">
        <v>44252</v>
      </c>
      <c r="M100" s="350">
        <f t="shared" si="14"/>
        <v>28.142857142857142</v>
      </c>
      <c r="N100" s="587"/>
      <c r="O100" s="588"/>
      <c r="P100" s="420" t="s">
        <v>415</v>
      </c>
      <c r="Q100" s="390" t="s">
        <v>418</v>
      </c>
      <c r="R100" s="349">
        <v>44252</v>
      </c>
      <c r="S100" s="357">
        <f>(R100-K100)/7</f>
        <v>28.142857142857142</v>
      </c>
      <c r="T100" s="383" t="s">
        <v>322</v>
      </c>
      <c r="U100" s="389"/>
      <c r="V100" s="385">
        <f t="shared" si="12"/>
        <v>-6293.5714285714284</v>
      </c>
      <c r="W100" s="383" t="s">
        <v>322</v>
      </c>
      <c r="X100" s="389"/>
      <c r="Y100" s="386">
        <f t="shared" si="13"/>
        <v>-6293.5714285714284</v>
      </c>
    </row>
    <row r="101" spans="1:25" ht="98.25" customHeight="1" x14ac:dyDescent="0.2">
      <c r="A101" s="581">
        <v>25</v>
      </c>
      <c r="B101" s="567" t="s">
        <v>334</v>
      </c>
      <c r="C101" s="557" t="s">
        <v>413</v>
      </c>
      <c r="D101" s="555" t="s">
        <v>350</v>
      </c>
      <c r="E101" s="555" t="s">
        <v>355</v>
      </c>
      <c r="F101" s="561" t="s">
        <v>335</v>
      </c>
      <c r="G101" s="314" t="s">
        <v>339</v>
      </c>
      <c r="H101" s="324" t="s">
        <v>336</v>
      </c>
      <c r="I101" s="317" t="s">
        <v>170</v>
      </c>
      <c r="J101" s="317">
        <v>1</v>
      </c>
      <c r="K101" s="352">
        <v>43675</v>
      </c>
      <c r="L101" s="328">
        <v>43676</v>
      </c>
      <c r="M101" s="353">
        <f t="shared" ref="M101:M114" si="15">+(L101-K101)/7</f>
        <v>0.14285714285714285</v>
      </c>
      <c r="N101" s="583" t="s">
        <v>460</v>
      </c>
      <c r="O101" s="584"/>
      <c r="P101" s="421"/>
      <c r="Q101" s="391" t="s">
        <v>322</v>
      </c>
      <c r="R101" s="392"/>
      <c r="S101" s="393">
        <f>(R101-K101)/7</f>
        <v>-6239.2857142857147</v>
      </c>
      <c r="T101" s="391" t="s">
        <v>322</v>
      </c>
      <c r="U101" s="323"/>
      <c r="V101" s="393">
        <f t="shared" si="12"/>
        <v>-6239.2857142857147</v>
      </c>
      <c r="W101" s="391" t="s">
        <v>322</v>
      </c>
      <c r="X101" s="323"/>
      <c r="Y101" s="394">
        <f t="shared" si="13"/>
        <v>-6239.2857142857147</v>
      </c>
    </row>
    <row r="102" spans="1:25" ht="45" customHeight="1" x14ac:dyDescent="0.2">
      <c r="A102" s="589"/>
      <c r="B102" s="568"/>
      <c r="C102" s="577"/>
      <c r="D102" s="563"/>
      <c r="E102" s="563"/>
      <c r="F102" s="590"/>
      <c r="G102" s="307" t="s">
        <v>340</v>
      </c>
      <c r="H102" s="318" t="s">
        <v>337</v>
      </c>
      <c r="I102" s="320" t="s">
        <v>338</v>
      </c>
      <c r="J102" s="320">
        <v>1</v>
      </c>
      <c r="K102" s="346">
        <v>44055</v>
      </c>
      <c r="L102" s="344">
        <v>44104</v>
      </c>
      <c r="M102" s="347">
        <f>+(L102-K102)/7</f>
        <v>7</v>
      </c>
      <c r="N102" s="585"/>
      <c r="O102" s="586"/>
      <c r="P102" s="422"/>
      <c r="Q102" s="379" t="s">
        <v>322</v>
      </c>
      <c r="R102" s="395"/>
      <c r="S102" s="396">
        <f>(R102-K102)/7</f>
        <v>-6293.5714285714284</v>
      </c>
      <c r="T102" s="379" t="s">
        <v>322</v>
      </c>
      <c r="U102" s="325"/>
      <c r="V102" s="396">
        <f t="shared" si="12"/>
        <v>-6293.5714285714284</v>
      </c>
      <c r="W102" s="379" t="s">
        <v>322</v>
      </c>
      <c r="X102" s="325"/>
      <c r="Y102" s="397">
        <f t="shared" si="13"/>
        <v>-6293.5714285714284</v>
      </c>
    </row>
    <row r="103" spans="1:25" ht="46.5" customHeight="1" thickBot="1" x14ac:dyDescent="0.25">
      <c r="A103" s="582"/>
      <c r="B103" s="569"/>
      <c r="C103" s="558"/>
      <c r="D103" s="556"/>
      <c r="E103" s="556"/>
      <c r="F103" s="562"/>
      <c r="G103" s="310" t="s">
        <v>341</v>
      </c>
      <c r="H103" s="319" t="s">
        <v>336</v>
      </c>
      <c r="I103" s="321" t="s">
        <v>170</v>
      </c>
      <c r="J103" s="321">
        <v>3</v>
      </c>
      <c r="K103" s="349">
        <v>44055</v>
      </c>
      <c r="L103" s="335">
        <v>44252</v>
      </c>
      <c r="M103" s="350">
        <f t="shared" si="15"/>
        <v>28.142857142857142</v>
      </c>
      <c r="N103" s="587"/>
      <c r="O103" s="588"/>
      <c r="P103" s="423" t="s">
        <v>415</v>
      </c>
      <c r="Q103" s="398" t="s">
        <v>418</v>
      </c>
      <c r="R103" s="399">
        <v>44252</v>
      </c>
      <c r="S103" s="400">
        <f>(R103-K103)/7</f>
        <v>28.142857142857142</v>
      </c>
      <c r="T103" s="401" t="s">
        <v>322</v>
      </c>
      <c r="U103" s="402"/>
      <c r="V103" s="403">
        <f t="shared" si="12"/>
        <v>-6293.5714285714284</v>
      </c>
      <c r="W103" s="401" t="s">
        <v>322</v>
      </c>
      <c r="X103" s="402"/>
      <c r="Y103" s="404">
        <f t="shared" si="13"/>
        <v>-6293.5714285714284</v>
      </c>
    </row>
    <row r="104" spans="1:25" ht="75.75" customHeight="1" x14ac:dyDescent="0.2">
      <c r="A104" s="581">
        <v>26</v>
      </c>
      <c r="B104" s="567" t="s">
        <v>396</v>
      </c>
      <c r="C104" s="570" t="s">
        <v>401</v>
      </c>
      <c r="D104" s="555" t="s">
        <v>299</v>
      </c>
      <c r="E104" s="555" t="s">
        <v>404</v>
      </c>
      <c r="F104" s="573" t="s">
        <v>387</v>
      </c>
      <c r="G104" s="324" t="s">
        <v>400</v>
      </c>
      <c r="H104" s="327" t="s">
        <v>169</v>
      </c>
      <c r="I104" s="461" t="s">
        <v>170</v>
      </c>
      <c r="J104" s="461">
        <v>1</v>
      </c>
      <c r="K104" s="315">
        <v>44044</v>
      </c>
      <c r="L104" s="315">
        <v>44104</v>
      </c>
      <c r="M104" s="353">
        <f t="shared" si="15"/>
        <v>8.5714285714285712</v>
      </c>
      <c r="N104" s="591" t="s">
        <v>392</v>
      </c>
      <c r="O104" s="592"/>
      <c r="P104" s="424"/>
      <c r="Q104" s="375" t="s">
        <v>322</v>
      </c>
      <c r="R104" s="405"/>
      <c r="S104" s="406">
        <f t="shared" ref="S104:S116" si="16">(R104-K104)/7</f>
        <v>-6292</v>
      </c>
      <c r="T104" s="375" t="s">
        <v>322</v>
      </c>
      <c r="U104" s="405"/>
      <c r="V104" s="406">
        <f t="shared" si="12"/>
        <v>-6292</v>
      </c>
      <c r="W104" s="375" t="s">
        <v>322</v>
      </c>
      <c r="X104" s="405"/>
      <c r="Y104" s="407">
        <f t="shared" si="13"/>
        <v>-6292</v>
      </c>
    </row>
    <row r="105" spans="1:25" ht="74.25" customHeight="1" x14ac:dyDescent="0.2">
      <c r="A105" s="589"/>
      <c r="B105" s="568"/>
      <c r="C105" s="571"/>
      <c r="D105" s="563"/>
      <c r="E105" s="563"/>
      <c r="F105" s="574"/>
      <c r="G105" s="318" t="s">
        <v>230</v>
      </c>
      <c r="H105" s="303" t="s">
        <v>169</v>
      </c>
      <c r="I105" s="462" t="s">
        <v>170</v>
      </c>
      <c r="J105" s="462">
        <v>1</v>
      </c>
      <c r="K105" s="308">
        <v>44105</v>
      </c>
      <c r="L105" s="308">
        <v>44134</v>
      </c>
      <c r="M105" s="347">
        <f t="shared" si="15"/>
        <v>4.1428571428571432</v>
      </c>
      <c r="N105" s="593"/>
      <c r="O105" s="594"/>
      <c r="P105" s="422"/>
      <c r="Q105" s="379" t="s">
        <v>322</v>
      </c>
      <c r="R105" s="395"/>
      <c r="S105" s="396">
        <f t="shared" si="16"/>
        <v>-6300.7142857142853</v>
      </c>
      <c r="T105" s="379" t="s">
        <v>322</v>
      </c>
      <c r="U105" s="395"/>
      <c r="V105" s="396">
        <f t="shared" si="12"/>
        <v>-6300.7142857142853</v>
      </c>
      <c r="W105" s="379" t="s">
        <v>322</v>
      </c>
      <c r="X105" s="395"/>
      <c r="Y105" s="397">
        <f t="shared" si="13"/>
        <v>-6300.7142857142853</v>
      </c>
    </row>
    <row r="106" spans="1:25" ht="80.25" customHeight="1" thickBot="1" x14ac:dyDescent="0.25">
      <c r="A106" s="582"/>
      <c r="B106" s="569"/>
      <c r="C106" s="572"/>
      <c r="D106" s="556"/>
      <c r="E106" s="556"/>
      <c r="F106" s="575"/>
      <c r="G106" s="319" t="s">
        <v>231</v>
      </c>
      <c r="H106" s="311" t="s">
        <v>169</v>
      </c>
      <c r="I106" s="463" t="s">
        <v>170</v>
      </c>
      <c r="J106" s="463">
        <v>1</v>
      </c>
      <c r="K106" s="312">
        <v>44136</v>
      </c>
      <c r="L106" s="312">
        <v>44165</v>
      </c>
      <c r="M106" s="350">
        <f t="shared" si="15"/>
        <v>4.1428571428571432</v>
      </c>
      <c r="N106" s="595"/>
      <c r="O106" s="596"/>
      <c r="P106" s="420"/>
      <c r="Q106" s="383" t="s">
        <v>322</v>
      </c>
      <c r="R106" s="408"/>
      <c r="S106" s="409">
        <f t="shared" si="16"/>
        <v>-6305.1428571428569</v>
      </c>
      <c r="T106" s="383" t="s">
        <v>322</v>
      </c>
      <c r="U106" s="408"/>
      <c r="V106" s="409">
        <f t="shared" si="12"/>
        <v>-6305.1428571428569</v>
      </c>
      <c r="W106" s="383" t="s">
        <v>322</v>
      </c>
      <c r="X106" s="408"/>
      <c r="Y106" s="410">
        <f t="shared" si="13"/>
        <v>-6305.1428571428569</v>
      </c>
    </row>
    <row r="107" spans="1:25" ht="46.5" customHeight="1" x14ac:dyDescent="0.2">
      <c r="A107" s="581">
        <v>27</v>
      </c>
      <c r="B107" s="567" t="s">
        <v>397</v>
      </c>
      <c r="C107" s="570" t="s">
        <v>402</v>
      </c>
      <c r="D107" s="555" t="s">
        <v>384</v>
      </c>
      <c r="E107" s="555" t="s">
        <v>403</v>
      </c>
      <c r="F107" s="573" t="s">
        <v>165</v>
      </c>
      <c r="G107" s="428" t="s">
        <v>166</v>
      </c>
      <c r="H107" s="327" t="s">
        <v>169</v>
      </c>
      <c r="I107" s="446" t="s">
        <v>170</v>
      </c>
      <c r="J107" s="461">
        <v>1</v>
      </c>
      <c r="K107" s="315">
        <v>44044</v>
      </c>
      <c r="L107" s="315">
        <v>44255</v>
      </c>
      <c r="M107" s="353">
        <f t="shared" si="15"/>
        <v>30.142857142857142</v>
      </c>
      <c r="N107" s="733" t="s">
        <v>393</v>
      </c>
      <c r="O107" s="734"/>
      <c r="P107" s="424"/>
      <c r="Q107" s="375" t="s">
        <v>322</v>
      </c>
      <c r="R107" s="405"/>
      <c r="S107" s="406">
        <f t="shared" si="16"/>
        <v>-6292</v>
      </c>
      <c r="T107" s="375" t="s">
        <v>322</v>
      </c>
      <c r="U107" s="405"/>
      <c r="V107" s="406">
        <f t="shared" si="12"/>
        <v>-6292</v>
      </c>
      <c r="W107" s="375" t="s">
        <v>322</v>
      </c>
      <c r="X107" s="405"/>
      <c r="Y107" s="407">
        <f t="shared" si="13"/>
        <v>-6292</v>
      </c>
    </row>
    <row r="108" spans="1:25" ht="46.5" customHeight="1" x14ac:dyDescent="0.2">
      <c r="A108" s="589"/>
      <c r="B108" s="568"/>
      <c r="C108" s="571"/>
      <c r="D108" s="563"/>
      <c r="E108" s="563"/>
      <c r="F108" s="574"/>
      <c r="G108" s="354" t="s">
        <v>167</v>
      </c>
      <c r="H108" s="303" t="s">
        <v>169</v>
      </c>
      <c r="I108" s="464" t="s">
        <v>170</v>
      </c>
      <c r="J108" s="462">
        <v>1</v>
      </c>
      <c r="K108" s="308">
        <v>44256</v>
      </c>
      <c r="L108" s="308">
        <v>44316</v>
      </c>
      <c r="M108" s="347">
        <f t="shared" si="15"/>
        <v>8.5714285714285712</v>
      </c>
      <c r="N108" s="735"/>
      <c r="O108" s="736"/>
      <c r="P108" s="422"/>
      <c r="Q108" s="379" t="s">
        <v>322</v>
      </c>
      <c r="R108" s="395"/>
      <c r="S108" s="396">
        <f t="shared" si="16"/>
        <v>-6322.2857142857147</v>
      </c>
      <c r="T108" s="379" t="s">
        <v>322</v>
      </c>
      <c r="U108" s="395"/>
      <c r="V108" s="396">
        <f t="shared" si="12"/>
        <v>-6322.2857142857147</v>
      </c>
      <c r="W108" s="379" t="s">
        <v>322</v>
      </c>
      <c r="X108" s="395"/>
      <c r="Y108" s="397">
        <f t="shared" si="13"/>
        <v>-6322.2857142857147</v>
      </c>
    </row>
    <row r="109" spans="1:25" ht="46.5" customHeight="1" thickBot="1" x14ac:dyDescent="0.25">
      <c r="A109" s="582"/>
      <c r="B109" s="569"/>
      <c r="C109" s="572"/>
      <c r="D109" s="556"/>
      <c r="E109" s="556"/>
      <c r="F109" s="575"/>
      <c r="G109" s="427" t="s">
        <v>168</v>
      </c>
      <c r="H109" s="311" t="s">
        <v>169</v>
      </c>
      <c r="I109" s="447" t="s">
        <v>170</v>
      </c>
      <c r="J109" s="463">
        <v>1</v>
      </c>
      <c r="K109" s="312">
        <v>44317</v>
      </c>
      <c r="L109" s="312">
        <v>44347</v>
      </c>
      <c r="M109" s="350">
        <f t="shared" si="15"/>
        <v>4.2857142857142856</v>
      </c>
      <c r="N109" s="737"/>
      <c r="O109" s="738"/>
      <c r="P109" s="420"/>
      <c r="Q109" s="383" t="s">
        <v>322</v>
      </c>
      <c r="R109" s="408"/>
      <c r="S109" s="409">
        <f t="shared" si="16"/>
        <v>-6331</v>
      </c>
      <c r="T109" s="383" t="s">
        <v>322</v>
      </c>
      <c r="U109" s="408"/>
      <c r="V109" s="409">
        <f t="shared" si="12"/>
        <v>-6331</v>
      </c>
      <c r="W109" s="383" t="s">
        <v>322</v>
      </c>
      <c r="X109" s="408"/>
      <c r="Y109" s="410">
        <f t="shared" si="13"/>
        <v>-6331</v>
      </c>
    </row>
    <row r="110" spans="1:25" ht="46.5" customHeight="1" x14ac:dyDescent="0.2">
      <c r="A110" s="581">
        <v>28</v>
      </c>
      <c r="B110" s="567" t="s">
        <v>398</v>
      </c>
      <c r="C110" s="570" t="s">
        <v>405</v>
      </c>
      <c r="D110" s="555" t="s">
        <v>385</v>
      </c>
      <c r="E110" s="555" t="s">
        <v>406</v>
      </c>
      <c r="F110" s="573" t="s">
        <v>220</v>
      </c>
      <c r="G110" s="428" t="s">
        <v>221</v>
      </c>
      <c r="H110" s="327" t="s">
        <v>169</v>
      </c>
      <c r="I110" s="446" t="s">
        <v>170</v>
      </c>
      <c r="J110" s="461">
        <v>1</v>
      </c>
      <c r="K110" s="315">
        <v>44073</v>
      </c>
      <c r="L110" s="315">
        <v>44285</v>
      </c>
      <c r="M110" s="353">
        <f t="shared" si="15"/>
        <v>30.285714285714285</v>
      </c>
      <c r="N110" s="733" t="s">
        <v>394</v>
      </c>
      <c r="O110" s="734"/>
      <c r="P110" s="417"/>
      <c r="Q110" s="375" t="s">
        <v>322</v>
      </c>
      <c r="R110" s="376"/>
      <c r="S110" s="377">
        <f t="shared" si="16"/>
        <v>-6296.1428571428569</v>
      </c>
      <c r="T110" s="375" t="s">
        <v>322</v>
      </c>
      <c r="U110" s="376"/>
      <c r="V110" s="377">
        <f t="shared" si="12"/>
        <v>-6296.1428571428569</v>
      </c>
      <c r="W110" s="375" t="s">
        <v>322</v>
      </c>
      <c r="X110" s="376"/>
      <c r="Y110" s="378">
        <f t="shared" si="13"/>
        <v>-6296.1428571428569</v>
      </c>
    </row>
    <row r="111" spans="1:25" ht="46.5" customHeight="1" x14ac:dyDescent="0.2">
      <c r="A111" s="589"/>
      <c r="B111" s="568"/>
      <c r="C111" s="571"/>
      <c r="D111" s="563"/>
      <c r="E111" s="563"/>
      <c r="F111" s="574"/>
      <c r="G111" s="354" t="s">
        <v>222</v>
      </c>
      <c r="H111" s="303" t="s">
        <v>169</v>
      </c>
      <c r="I111" s="464" t="s">
        <v>170</v>
      </c>
      <c r="J111" s="462">
        <v>1</v>
      </c>
      <c r="K111" s="308">
        <v>44286</v>
      </c>
      <c r="L111" s="308">
        <v>44316</v>
      </c>
      <c r="M111" s="347">
        <f t="shared" si="15"/>
        <v>4.2857142857142856</v>
      </c>
      <c r="N111" s="735"/>
      <c r="O111" s="736"/>
      <c r="P111" s="418"/>
      <c r="Q111" s="379" t="s">
        <v>322</v>
      </c>
      <c r="R111" s="380"/>
      <c r="S111" s="381">
        <f t="shared" si="16"/>
        <v>-6326.5714285714284</v>
      </c>
      <c r="T111" s="379" t="s">
        <v>322</v>
      </c>
      <c r="U111" s="380"/>
      <c r="V111" s="381">
        <f t="shared" si="12"/>
        <v>-6326.5714285714284</v>
      </c>
      <c r="W111" s="379" t="s">
        <v>322</v>
      </c>
      <c r="X111" s="380"/>
      <c r="Y111" s="382">
        <f t="shared" si="13"/>
        <v>-6326.5714285714284</v>
      </c>
    </row>
    <row r="112" spans="1:25" ht="46.5" customHeight="1" thickBot="1" x14ac:dyDescent="0.25">
      <c r="A112" s="582"/>
      <c r="B112" s="569"/>
      <c r="C112" s="572"/>
      <c r="D112" s="556"/>
      <c r="E112" s="556"/>
      <c r="F112" s="575"/>
      <c r="G112" s="427" t="s">
        <v>223</v>
      </c>
      <c r="H112" s="311" t="s">
        <v>169</v>
      </c>
      <c r="I112" s="447" t="s">
        <v>170</v>
      </c>
      <c r="J112" s="463">
        <v>1</v>
      </c>
      <c r="K112" s="312">
        <v>44317</v>
      </c>
      <c r="L112" s="312">
        <v>44347</v>
      </c>
      <c r="M112" s="350">
        <f t="shared" si="15"/>
        <v>4.2857142857142856</v>
      </c>
      <c r="N112" s="737"/>
      <c r="O112" s="738"/>
      <c r="P112" s="419"/>
      <c r="Q112" s="383" t="s">
        <v>322</v>
      </c>
      <c r="R112" s="384"/>
      <c r="S112" s="385">
        <f t="shared" si="16"/>
        <v>-6331</v>
      </c>
      <c r="T112" s="383" t="s">
        <v>322</v>
      </c>
      <c r="U112" s="384"/>
      <c r="V112" s="385">
        <f t="shared" si="12"/>
        <v>-6331</v>
      </c>
      <c r="W112" s="383" t="s">
        <v>322</v>
      </c>
      <c r="X112" s="384"/>
      <c r="Y112" s="386">
        <f t="shared" si="13"/>
        <v>-6331</v>
      </c>
    </row>
    <row r="113" spans="1:25" ht="75.75" customHeight="1" x14ac:dyDescent="0.2">
      <c r="A113" s="581">
        <v>29</v>
      </c>
      <c r="B113" s="567" t="s">
        <v>399</v>
      </c>
      <c r="C113" s="570" t="s">
        <v>407</v>
      </c>
      <c r="D113" s="555" t="s">
        <v>386</v>
      </c>
      <c r="E113" s="555" t="s">
        <v>408</v>
      </c>
      <c r="F113" s="573" t="s">
        <v>388</v>
      </c>
      <c r="G113" s="426" t="s">
        <v>389</v>
      </c>
      <c r="H113" s="324" t="s">
        <v>195</v>
      </c>
      <c r="I113" s="448" t="s">
        <v>170</v>
      </c>
      <c r="J113" s="448">
        <v>1</v>
      </c>
      <c r="K113" s="329">
        <v>43627</v>
      </c>
      <c r="L113" s="329">
        <v>43640</v>
      </c>
      <c r="M113" s="353">
        <f t="shared" si="15"/>
        <v>1.8571428571428572</v>
      </c>
      <c r="N113" s="591" t="s">
        <v>395</v>
      </c>
      <c r="O113" s="592"/>
      <c r="P113" s="417"/>
      <c r="Q113" s="375" t="s">
        <v>322</v>
      </c>
      <c r="R113" s="376"/>
      <c r="S113" s="377">
        <f t="shared" si="16"/>
        <v>-6232.4285714285716</v>
      </c>
      <c r="T113" s="375" t="s">
        <v>322</v>
      </c>
      <c r="U113" s="376"/>
      <c r="V113" s="377">
        <f t="shared" si="12"/>
        <v>-6232.4285714285716</v>
      </c>
      <c r="W113" s="375" t="s">
        <v>322</v>
      </c>
      <c r="X113" s="376"/>
      <c r="Y113" s="378">
        <f t="shared" si="13"/>
        <v>-6232.4285714285716</v>
      </c>
    </row>
    <row r="114" spans="1:25" ht="80.25" customHeight="1" thickBot="1" x14ac:dyDescent="0.25">
      <c r="A114" s="582"/>
      <c r="B114" s="569"/>
      <c r="C114" s="572"/>
      <c r="D114" s="556"/>
      <c r="E114" s="556"/>
      <c r="F114" s="575"/>
      <c r="G114" s="355" t="s">
        <v>390</v>
      </c>
      <c r="H114" s="319" t="s">
        <v>337</v>
      </c>
      <c r="I114" s="453" t="s">
        <v>391</v>
      </c>
      <c r="J114" s="453">
        <v>1</v>
      </c>
      <c r="K114" s="312">
        <v>43648</v>
      </c>
      <c r="L114" s="312">
        <v>44012</v>
      </c>
      <c r="M114" s="350">
        <f t="shared" si="15"/>
        <v>52</v>
      </c>
      <c r="N114" s="595"/>
      <c r="O114" s="596"/>
      <c r="P114" s="419"/>
      <c r="Q114" s="383" t="s">
        <v>322</v>
      </c>
      <c r="R114" s="384"/>
      <c r="S114" s="385">
        <f t="shared" si="16"/>
        <v>-6235.4285714285716</v>
      </c>
      <c r="T114" s="383" t="s">
        <v>322</v>
      </c>
      <c r="U114" s="384"/>
      <c r="V114" s="385">
        <f t="shared" si="12"/>
        <v>-6235.4285714285716</v>
      </c>
      <c r="W114" s="383" t="s">
        <v>322</v>
      </c>
      <c r="X114" s="384"/>
      <c r="Y114" s="386">
        <f t="shared" si="13"/>
        <v>-6235.4285714285716</v>
      </c>
    </row>
    <row r="115" spans="1:25" ht="60" customHeight="1" x14ac:dyDescent="0.2">
      <c r="A115" s="581">
        <v>30</v>
      </c>
      <c r="B115" s="559" t="s">
        <v>342</v>
      </c>
      <c r="C115" s="557" t="s">
        <v>411</v>
      </c>
      <c r="D115" s="555" t="s">
        <v>349</v>
      </c>
      <c r="E115" s="555" t="s">
        <v>357</v>
      </c>
      <c r="F115" s="561" t="s">
        <v>343</v>
      </c>
      <c r="G115" s="314" t="s">
        <v>344</v>
      </c>
      <c r="H115" s="324" t="s">
        <v>345</v>
      </c>
      <c r="I115" s="351" t="s">
        <v>346</v>
      </c>
      <c r="J115" s="317">
        <v>1</v>
      </c>
      <c r="K115" s="352">
        <v>44013</v>
      </c>
      <c r="L115" s="352">
        <v>44042</v>
      </c>
      <c r="M115" s="356">
        <f>+(L115-K115)/7</f>
        <v>4.1428571428571432</v>
      </c>
      <c r="N115" s="561" t="s">
        <v>356</v>
      </c>
      <c r="O115" s="597"/>
      <c r="P115" s="425"/>
      <c r="Q115" s="391" t="s">
        <v>322</v>
      </c>
      <c r="R115" s="411"/>
      <c r="S115" s="412">
        <f t="shared" si="16"/>
        <v>-6287.5714285714284</v>
      </c>
      <c r="T115" s="391" t="s">
        <v>322</v>
      </c>
      <c r="U115" s="411"/>
      <c r="V115" s="412">
        <f t="shared" si="12"/>
        <v>-6287.5714285714284</v>
      </c>
      <c r="W115" s="391" t="s">
        <v>322</v>
      </c>
      <c r="X115" s="411"/>
      <c r="Y115" s="413">
        <f t="shared" si="13"/>
        <v>-6287.5714285714284</v>
      </c>
    </row>
    <row r="116" spans="1:25" ht="48.75" customHeight="1" thickBot="1" x14ac:dyDescent="0.25">
      <c r="A116" s="582"/>
      <c r="B116" s="560"/>
      <c r="C116" s="558"/>
      <c r="D116" s="556"/>
      <c r="E116" s="556"/>
      <c r="F116" s="562"/>
      <c r="G116" s="310" t="s">
        <v>347</v>
      </c>
      <c r="H116" s="319" t="s">
        <v>345</v>
      </c>
      <c r="I116" s="348" t="s">
        <v>348</v>
      </c>
      <c r="J116" s="321">
        <v>3</v>
      </c>
      <c r="K116" s="349">
        <v>44053</v>
      </c>
      <c r="L116" s="349">
        <v>44134</v>
      </c>
      <c r="M116" s="357">
        <f>+(L116-K116)/7</f>
        <v>11.571428571428571</v>
      </c>
      <c r="N116" s="562"/>
      <c r="O116" s="598"/>
      <c r="P116" s="419"/>
      <c r="Q116" s="383" t="s">
        <v>322</v>
      </c>
      <c r="R116" s="384"/>
      <c r="S116" s="385">
        <f t="shared" si="16"/>
        <v>-6293.2857142857147</v>
      </c>
      <c r="T116" s="383" t="s">
        <v>322</v>
      </c>
      <c r="U116" s="384"/>
      <c r="V116" s="385">
        <f t="shared" si="12"/>
        <v>-6293.2857142857147</v>
      </c>
      <c r="W116" s="383" t="s">
        <v>322</v>
      </c>
      <c r="X116" s="384"/>
      <c r="Y116" s="386">
        <f t="shared" si="13"/>
        <v>-6293.2857142857147</v>
      </c>
    </row>
    <row r="162" spans="1:81" s="467" customFormat="1" x14ac:dyDescent="0.2">
      <c r="A162" s="472"/>
      <c r="C162" s="473"/>
      <c r="G162" s="474"/>
      <c r="H162" s="473"/>
      <c r="P162" s="459"/>
      <c r="Q162" s="459"/>
      <c r="R162" s="459"/>
      <c r="S162" s="459"/>
      <c r="T162" s="459"/>
      <c r="U162" s="459"/>
      <c r="V162" s="459"/>
      <c r="W162" s="459"/>
      <c r="X162" s="459"/>
      <c r="Y162" s="459"/>
      <c r="Z162" s="459"/>
      <c r="AA162" s="459"/>
      <c r="AB162" s="459"/>
      <c r="AC162" s="459"/>
      <c r="AD162" s="459"/>
      <c r="AE162" s="459"/>
      <c r="AF162" s="459"/>
      <c r="AG162" s="459"/>
      <c r="AH162" s="459"/>
      <c r="AI162" s="459"/>
      <c r="AJ162" s="459"/>
      <c r="AK162" s="459"/>
      <c r="AL162" s="459"/>
      <c r="AM162" s="459"/>
      <c r="AN162" s="459"/>
      <c r="AO162" s="459"/>
      <c r="AP162" s="459"/>
      <c r="AQ162" s="459"/>
      <c r="AR162" s="459"/>
      <c r="AS162" s="459"/>
      <c r="AT162" s="459"/>
      <c r="AU162" s="459"/>
      <c r="AV162" s="459"/>
      <c r="AW162" s="459"/>
      <c r="AX162" s="459"/>
      <c r="AY162" s="459"/>
      <c r="AZ162" s="459"/>
      <c r="BA162" s="459"/>
      <c r="BB162" s="459"/>
      <c r="BC162" s="459"/>
      <c r="BD162" s="459"/>
      <c r="BE162" s="459"/>
      <c r="BF162" s="459"/>
      <c r="BG162" s="459"/>
      <c r="BH162" s="459"/>
      <c r="BI162" s="459"/>
      <c r="BJ162" s="459"/>
      <c r="BK162" s="459"/>
      <c r="BL162" s="459"/>
      <c r="BM162" s="459"/>
      <c r="BN162" s="459"/>
      <c r="BO162" s="459"/>
      <c r="BP162" s="459"/>
      <c r="BQ162" s="459"/>
      <c r="BR162" s="459"/>
      <c r="BS162" s="459"/>
      <c r="BT162" s="459"/>
      <c r="BU162" s="459"/>
      <c r="BV162" s="459"/>
      <c r="BW162" s="459"/>
      <c r="BX162" s="459"/>
      <c r="BY162" s="459"/>
      <c r="BZ162" s="459"/>
      <c r="CA162" s="459"/>
      <c r="CB162" s="459"/>
      <c r="CC162" s="459"/>
    </row>
    <row r="163" spans="1:81" s="467" customFormat="1" x14ac:dyDescent="0.2">
      <c r="A163" s="472"/>
      <c r="C163" s="473"/>
      <c r="G163" s="474"/>
      <c r="H163" s="473"/>
      <c r="P163" s="459"/>
      <c r="Q163" s="459"/>
      <c r="R163" s="459"/>
      <c r="S163" s="459"/>
      <c r="T163" s="459"/>
      <c r="U163" s="459"/>
      <c r="V163" s="459"/>
      <c r="W163" s="459"/>
      <c r="X163" s="459"/>
      <c r="Y163" s="459"/>
      <c r="Z163" s="459"/>
      <c r="AA163" s="459"/>
      <c r="AB163" s="459"/>
      <c r="AC163" s="459"/>
      <c r="AD163" s="459"/>
      <c r="AE163" s="459"/>
      <c r="AF163" s="459"/>
      <c r="AG163" s="459"/>
      <c r="AH163" s="459"/>
      <c r="AI163" s="459"/>
      <c r="AJ163" s="459"/>
      <c r="AK163" s="459"/>
      <c r="AL163" s="459"/>
      <c r="AM163" s="459"/>
      <c r="AN163" s="459"/>
      <c r="AO163" s="459"/>
      <c r="AP163" s="459"/>
      <c r="AQ163" s="459"/>
      <c r="AR163" s="459"/>
      <c r="AS163" s="459"/>
      <c r="AT163" s="459"/>
      <c r="AU163" s="459"/>
      <c r="AV163" s="459"/>
      <c r="AW163" s="459"/>
      <c r="AX163" s="459"/>
      <c r="AY163" s="459"/>
      <c r="AZ163" s="459"/>
      <c r="BA163" s="459"/>
      <c r="BB163" s="459"/>
      <c r="BC163" s="459"/>
      <c r="BD163" s="459"/>
      <c r="BE163" s="459"/>
      <c r="BF163" s="459"/>
      <c r="BG163" s="459"/>
      <c r="BH163" s="459"/>
      <c r="BI163" s="459"/>
      <c r="BJ163" s="459"/>
      <c r="BK163" s="459"/>
      <c r="BL163" s="459"/>
      <c r="BM163" s="459"/>
      <c r="BN163" s="459"/>
      <c r="BO163" s="459"/>
      <c r="BP163" s="459"/>
      <c r="BQ163" s="459"/>
      <c r="BR163" s="459"/>
      <c r="BS163" s="459"/>
      <c r="BT163" s="459"/>
      <c r="BU163" s="459"/>
      <c r="BV163" s="459"/>
      <c r="BW163" s="459"/>
      <c r="BX163" s="459"/>
      <c r="BY163" s="459"/>
      <c r="BZ163" s="459"/>
      <c r="CA163" s="459"/>
      <c r="CB163" s="459"/>
      <c r="CC163" s="459"/>
    </row>
    <row r="164" spans="1:81" s="467" customFormat="1" x14ac:dyDescent="0.2">
      <c r="A164" s="472"/>
      <c r="C164" s="473"/>
      <c r="G164" s="474"/>
      <c r="H164" s="473"/>
      <c r="P164" s="459"/>
      <c r="Q164" s="459"/>
      <c r="R164" s="459"/>
      <c r="S164" s="459"/>
      <c r="T164" s="459"/>
      <c r="U164" s="459"/>
      <c r="V164" s="459"/>
      <c r="W164" s="459"/>
      <c r="X164" s="459"/>
      <c r="Y164" s="459"/>
      <c r="Z164" s="459"/>
      <c r="AA164" s="459"/>
      <c r="AB164" s="459"/>
      <c r="AC164" s="459"/>
      <c r="AD164" s="459"/>
      <c r="AE164" s="459"/>
      <c r="AF164" s="459"/>
      <c r="AG164" s="459"/>
      <c r="AH164" s="459"/>
      <c r="AI164" s="459"/>
      <c r="AJ164" s="459"/>
      <c r="AK164" s="459"/>
      <c r="AL164" s="459"/>
      <c r="AM164" s="459"/>
      <c r="AN164" s="459"/>
      <c r="AO164" s="459"/>
      <c r="AP164" s="459"/>
      <c r="AQ164" s="459"/>
      <c r="AR164" s="459"/>
      <c r="AS164" s="459"/>
      <c r="AT164" s="459"/>
      <c r="AU164" s="459"/>
      <c r="AV164" s="459"/>
      <c r="AW164" s="459"/>
      <c r="AX164" s="459"/>
      <c r="AY164" s="459"/>
      <c r="AZ164" s="459"/>
      <c r="BA164" s="459"/>
      <c r="BB164" s="459"/>
      <c r="BC164" s="459"/>
      <c r="BD164" s="459"/>
      <c r="BE164" s="459"/>
      <c r="BF164" s="459"/>
      <c r="BG164" s="459"/>
      <c r="BH164" s="459"/>
      <c r="BI164" s="459"/>
      <c r="BJ164" s="459"/>
      <c r="BK164" s="459"/>
      <c r="BL164" s="459"/>
      <c r="BM164" s="459"/>
      <c r="BN164" s="459"/>
      <c r="BO164" s="459"/>
      <c r="BP164" s="459"/>
      <c r="BQ164" s="459"/>
      <c r="BR164" s="459"/>
      <c r="BS164" s="459"/>
      <c r="BT164" s="459"/>
      <c r="BU164" s="459"/>
      <c r="BV164" s="459"/>
      <c r="BW164" s="459"/>
      <c r="BX164" s="459"/>
      <c r="BY164" s="459"/>
      <c r="BZ164" s="459"/>
      <c r="CA164" s="459"/>
      <c r="CB164" s="459"/>
      <c r="CC164" s="459"/>
    </row>
    <row r="165" spans="1:81" s="467" customFormat="1" x14ac:dyDescent="0.2">
      <c r="A165" s="472"/>
      <c r="C165" s="473"/>
      <c r="G165" s="474"/>
      <c r="H165" s="473"/>
      <c r="P165" s="459"/>
      <c r="Q165" s="459"/>
      <c r="R165" s="459"/>
      <c r="S165" s="459"/>
      <c r="T165" s="459"/>
      <c r="U165" s="459"/>
      <c r="V165" s="459"/>
      <c r="W165" s="459"/>
      <c r="X165" s="459"/>
      <c r="Y165" s="459"/>
      <c r="Z165" s="459"/>
      <c r="AA165" s="459"/>
      <c r="AB165" s="459"/>
      <c r="AC165" s="459"/>
      <c r="AD165" s="459"/>
      <c r="AE165" s="459"/>
      <c r="AF165" s="459"/>
      <c r="AG165" s="459"/>
      <c r="AH165" s="459"/>
      <c r="AI165" s="459"/>
      <c r="AJ165" s="459"/>
      <c r="AK165" s="459"/>
      <c r="AL165" s="459"/>
      <c r="AM165" s="459"/>
      <c r="AN165" s="459"/>
      <c r="AO165" s="459"/>
      <c r="AP165" s="459"/>
      <c r="AQ165" s="459"/>
      <c r="AR165" s="459"/>
      <c r="AS165" s="459"/>
      <c r="AT165" s="459"/>
      <c r="AU165" s="459"/>
      <c r="AV165" s="459"/>
      <c r="AW165" s="459"/>
      <c r="AX165" s="459"/>
      <c r="AY165" s="459"/>
      <c r="AZ165" s="459"/>
      <c r="BA165" s="459"/>
      <c r="BB165" s="459"/>
      <c r="BC165" s="459"/>
      <c r="BD165" s="459"/>
      <c r="BE165" s="459"/>
      <c r="BF165" s="459"/>
      <c r="BG165" s="459"/>
      <c r="BH165" s="459"/>
      <c r="BI165" s="459"/>
      <c r="BJ165" s="459"/>
      <c r="BK165" s="459"/>
      <c r="BL165" s="459"/>
      <c r="BM165" s="459"/>
      <c r="BN165" s="459"/>
      <c r="BO165" s="459"/>
      <c r="BP165" s="459"/>
      <c r="BQ165" s="459"/>
      <c r="BR165" s="459"/>
      <c r="BS165" s="459"/>
      <c r="BT165" s="459"/>
      <c r="BU165" s="459"/>
      <c r="BV165" s="459"/>
      <c r="BW165" s="459"/>
      <c r="BX165" s="459"/>
      <c r="BY165" s="459"/>
      <c r="BZ165" s="459"/>
      <c r="CA165" s="459"/>
      <c r="CB165" s="459"/>
      <c r="CC165" s="459"/>
    </row>
    <row r="166" spans="1:81" s="467" customFormat="1" x14ac:dyDescent="0.2">
      <c r="A166" s="472"/>
      <c r="C166" s="473"/>
      <c r="G166" s="474"/>
      <c r="H166" s="473"/>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459"/>
      <c r="AK166" s="459"/>
      <c r="AL166" s="459"/>
      <c r="AM166" s="459"/>
      <c r="AN166" s="459"/>
      <c r="AO166" s="459"/>
      <c r="AP166" s="459"/>
      <c r="AQ166" s="459"/>
      <c r="AR166" s="459"/>
      <c r="AS166" s="459"/>
      <c r="AT166" s="459"/>
      <c r="AU166" s="459"/>
      <c r="AV166" s="459"/>
      <c r="AW166" s="459"/>
      <c r="AX166" s="459"/>
      <c r="AY166" s="459"/>
      <c r="AZ166" s="459"/>
      <c r="BA166" s="459"/>
      <c r="BB166" s="459"/>
      <c r="BC166" s="459"/>
      <c r="BD166" s="459"/>
      <c r="BE166" s="459"/>
      <c r="BF166" s="459"/>
      <c r="BG166" s="459"/>
      <c r="BH166" s="459"/>
      <c r="BI166" s="459"/>
      <c r="BJ166" s="459"/>
      <c r="BK166" s="459"/>
      <c r="BL166" s="459"/>
      <c r="BM166" s="459"/>
      <c r="BN166" s="459"/>
      <c r="BO166" s="459"/>
      <c r="BP166" s="459"/>
      <c r="BQ166" s="459"/>
      <c r="BR166" s="459"/>
      <c r="BS166" s="459"/>
      <c r="BT166" s="459"/>
      <c r="BU166" s="459"/>
      <c r="BV166" s="459"/>
      <c r="BW166" s="459"/>
      <c r="BX166" s="459"/>
      <c r="BY166" s="459"/>
      <c r="BZ166" s="459"/>
      <c r="CA166" s="459"/>
      <c r="CB166" s="459"/>
      <c r="CC166" s="459"/>
    </row>
    <row r="167" spans="1:81" s="467" customFormat="1" x14ac:dyDescent="0.2">
      <c r="A167" s="472"/>
      <c r="C167" s="473"/>
      <c r="G167" s="474"/>
      <c r="H167" s="473"/>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459"/>
      <c r="AK167" s="459"/>
      <c r="AL167" s="459"/>
      <c r="AM167" s="459"/>
      <c r="AN167" s="459"/>
      <c r="AO167" s="459"/>
      <c r="AP167" s="459"/>
      <c r="AQ167" s="459"/>
      <c r="AR167" s="459"/>
      <c r="AS167" s="459"/>
      <c r="AT167" s="459"/>
      <c r="AU167" s="459"/>
      <c r="AV167" s="459"/>
      <c r="AW167" s="459"/>
      <c r="AX167" s="459"/>
      <c r="AY167" s="459"/>
      <c r="AZ167" s="459"/>
      <c r="BA167" s="459"/>
      <c r="BB167" s="459"/>
      <c r="BC167" s="459"/>
      <c r="BD167" s="459"/>
      <c r="BE167" s="459"/>
      <c r="BF167" s="459"/>
      <c r="BG167" s="459"/>
      <c r="BH167" s="459"/>
      <c r="BI167" s="459"/>
      <c r="BJ167" s="459"/>
      <c r="BK167" s="459"/>
      <c r="BL167" s="459"/>
      <c r="BM167" s="459"/>
      <c r="BN167" s="459"/>
      <c r="BO167" s="459"/>
      <c r="BP167" s="459"/>
      <c r="BQ167" s="459"/>
      <c r="BR167" s="459"/>
      <c r="BS167" s="459"/>
      <c r="BT167" s="459"/>
      <c r="BU167" s="459"/>
      <c r="BV167" s="459"/>
      <c r="BW167" s="459"/>
      <c r="BX167" s="459"/>
      <c r="BY167" s="459"/>
      <c r="BZ167" s="459"/>
      <c r="CA167" s="459"/>
      <c r="CB167" s="459"/>
      <c r="CC167" s="459"/>
    </row>
    <row r="168" spans="1:81" s="467" customFormat="1" x14ac:dyDescent="0.2">
      <c r="A168" s="472"/>
      <c r="C168" s="473"/>
      <c r="G168" s="474"/>
      <c r="H168" s="473"/>
      <c r="P168" s="459"/>
      <c r="Q168" s="459"/>
      <c r="R168" s="459"/>
      <c r="S168" s="459"/>
      <c r="T168" s="459"/>
      <c r="U168" s="459"/>
      <c r="V168" s="459"/>
      <c r="W168" s="459"/>
      <c r="X168" s="459"/>
      <c r="Y168" s="459"/>
      <c r="Z168" s="459"/>
      <c r="AA168" s="459"/>
      <c r="AB168" s="459"/>
      <c r="AC168" s="459"/>
      <c r="AD168" s="459"/>
      <c r="AE168" s="459"/>
      <c r="AF168" s="459"/>
      <c r="AG168" s="459"/>
      <c r="AH168" s="459"/>
      <c r="AI168" s="459"/>
      <c r="AJ168" s="459"/>
      <c r="AK168" s="459"/>
      <c r="AL168" s="459"/>
      <c r="AM168" s="459"/>
      <c r="AN168" s="459"/>
      <c r="AO168" s="459"/>
      <c r="AP168" s="459"/>
      <c r="AQ168" s="459"/>
      <c r="AR168" s="459"/>
      <c r="AS168" s="459"/>
      <c r="AT168" s="459"/>
      <c r="AU168" s="459"/>
      <c r="AV168" s="459"/>
      <c r="AW168" s="459"/>
      <c r="AX168" s="459"/>
      <c r="AY168" s="459"/>
      <c r="AZ168" s="459"/>
      <c r="BA168" s="459"/>
      <c r="BB168" s="459"/>
      <c r="BC168" s="459"/>
      <c r="BD168" s="459"/>
      <c r="BE168" s="459"/>
      <c r="BF168" s="459"/>
      <c r="BG168" s="459"/>
      <c r="BH168" s="459"/>
      <c r="BI168" s="459"/>
      <c r="BJ168" s="459"/>
      <c r="BK168" s="459"/>
      <c r="BL168" s="459"/>
      <c r="BM168" s="459"/>
      <c r="BN168" s="459"/>
      <c r="BO168" s="459"/>
      <c r="BP168" s="459"/>
      <c r="BQ168" s="459"/>
      <c r="BR168" s="459"/>
      <c r="BS168" s="459"/>
      <c r="BT168" s="459"/>
      <c r="BU168" s="459"/>
      <c r="BV168" s="459"/>
      <c r="BW168" s="459"/>
      <c r="BX168" s="459"/>
      <c r="BY168" s="459"/>
      <c r="BZ168" s="459"/>
      <c r="CA168" s="459"/>
      <c r="CB168" s="459"/>
      <c r="CC168" s="459"/>
    </row>
    <row r="169" spans="1:81" s="467" customFormat="1" x14ac:dyDescent="0.2">
      <c r="A169" s="472"/>
      <c r="C169" s="473"/>
      <c r="G169" s="474"/>
      <c r="H169" s="473"/>
      <c r="P169" s="459"/>
      <c r="Q169" s="459"/>
      <c r="R169" s="459"/>
      <c r="S169" s="459"/>
      <c r="T169" s="459"/>
      <c r="U169" s="459"/>
      <c r="V169" s="459"/>
      <c r="W169" s="459"/>
      <c r="X169" s="459"/>
      <c r="Y169" s="459"/>
      <c r="Z169" s="459"/>
      <c r="AA169" s="459"/>
      <c r="AB169" s="459"/>
      <c r="AC169" s="459"/>
      <c r="AD169" s="459"/>
      <c r="AE169" s="459"/>
      <c r="AF169" s="459"/>
      <c r="AG169" s="459"/>
      <c r="AH169" s="459"/>
      <c r="AI169" s="459"/>
      <c r="AJ169" s="459"/>
      <c r="AK169" s="459"/>
      <c r="AL169" s="459"/>
      <c r="AM169" s="459"/>
      <c r="AN169" s="459"/>
      <c r="AO169" s="459"/>
      <c r="AP169" s="459"/>
      <c r="AQ169" s="459"/>
      <c r="AR169" s="459"/>
      <c r="AS169" s="459"/>
      <c r="AT169" s="459"/>
      <c r="AU169" s="459"/>
      <c r="AV169" s="459"/>
      <c r="AW169" s="459"/>
      <c r="AX169" s="459"/>
      <c r="AY169" s="459"/>
      <c r="AZ169" s="459"/>
      <c r="BA169" s="459"/>
      <c r="BB169" s="459"/>
      <c r="BC169" s="459"/>
      <c r="BD169" s="459"/>
      <c r="BE169" s="459"/>
      <c r="BF169" s="459"/>
      <c r="BG169" s="459"/>
      <c r="BH169" s="459"/>
      <c r="BI169" s="459"/>
      <c r="BJ169" s="459"/>
      <c r="BK169" s="459"/>
      <c r="BL169" s="459"/>
      <c r="BM169" s="459"/>
      <c r="BN169" s="459"/>
      <c r="BO169" s="459"/>
      <c r="BP169" s="459"/>
      <c r="BQ169" s="459"/>
      <c r="BR169" s="459"/>
      <c r="BS169" s="459"/>
      <c r="BT169" s="459"/>
      <c r="BU169" s="459"/>
      <c r="BV169" s="459"/>
      <c r="BW169" s="459"/>
      <c r="BX169" s="459"/>
      <c r="BY169" s="459"/>
      <c r="BZ169" s="459"/>
      <c r="CA169" s="459"/>
      <c r="CB169" s="459"/>
      <c r="CC169" s="459"/>
    </row>
    <row r="170" spans="1:81" s="467" customFormat="1" x14ac:dyDescent="0.2">
      <c r="A170" s="472"/>
      <c r="C170" s="473"/>
      <c r="G170" s="474"/>
      <c r="H170" s="473"/>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459"/>
      <c r="AK170" s="459"/>
      <c r="AL170" s="459"/>
      <c r="AM170" s="459"/>
      <c r="AN170" s="459"/>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c r="BZ170" s="459"/>
      <c r="CA170" s="459"/>
      <c r="CB170" s="459"/>
      <c r="CC170" s="459"/>
    </row>
    <row r="171" spans="1:81" s="467" customFormat="1" x14ac:dyDescent="0.2">
      <c r="A171" s="472"/>
      <c r="C171" s="473"/>
      <c r="G171" s="474"/>
      <c r="H171" s="473"/>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59"/>
      <c r="AR171" s="459"/>
      <c r="AS171" s="459"/>
      <c r="AT171" s="459"/>
      <c r="AU171" s="459"/>
      <c r="AV171" s="459"/>
      <c r="AW171" s="459"/>
      <c r="AX171" s="459"/>
      <c r="AY171" s="459"/>
      <c r="AZ171" s="459"/>
      <c r="BA171" s="459"/>
      <c r="BB171" s="459"/>
      <c r="BC171" s="459"/>
      <c r="BD171" s="459"/>
      <c r="BE171" s="459"/>
      <c r="BF171" s="459"/>
      <c r="BG171" s="459"/>
      <c r="BH171" s="459"/>
      <c r="BI171" s="459"/>
      <c r="BJ171" s="459"/>
      <c r="BK171" s="459"/>
      <c r="BL171" s="459"/>
      <c r="BM171" s="459"/>
      <c r="BN171" s="459"/>
      <c r="BO171" s="459"/>
      <c r="BP171" s="459"/>
      <c r="BQ171" s="459"/>
      <c r="BR171" s="459"/>
      <c r="BS171" s="459"/>
      <c r="BT171" s="459"/>
      <c r="BU171" s="459"/>
      <c r="BV171" s="459"/>
      <c r="BW171" s="459"/>
      <c r="BX171" s="459"/>
      <c r="BY171" s="459"/>
      <c r="BZ171" s="459"/>
      <c r="CA171" s="459"/>
      <c r="CB171" s="459"/>
      <c r="CC171" s="459"/>
    </row>
    <row r="172" spans="1:81" s="467" customFormat="1" x14ac:dyDescent="0.2">
      <c r="A172" s="472"/>
      <c r="C172" s="473"/>
      <c r="G172" s="474"/>
      <c r="H172" s="473"/>
      <c r="P172" s="459"/>
      <c r="Q172" s="459"/>
      <c r="R172" s="459"/>
      <c r="S172" s="459"/>
      <c r="T172" s="459"/>
      <c r="U172" s="459"/>
      <c r="V172" s="459"/>
      <c r="W172" s="459"/>
      <c r="X172" s="459"/>
      <c r="Y172" s="459"/>
      <c r="Z172" s="459"/>
      <c r="AA172" s="459"/>
      <c r="AB172" s="459"/>
      <c r="AC172" s="459"/>
      <c r="AD172" s="459"/>
      <c r="AE172" s="459"/>
      <c r="AF172" s="459"/>
      <c r="AG172" s="459"/>
      <c r="AH172" s="459"/>
      <c r="AI172" s="459"/>
      <c r="AJ172" s="459"/>
      <c r="AK172" s="459"/>
      <c r="AL172" s="459"/>
      <c r="AM172" s="459"/>
      <c r="AN172" s="459"/>
      <c r="AO172" s="459"/>
      <c r="AP172" s="459"/>
      <c r="AQ172" s="459"/>
      <c r="AR172" s="459"/>
      <c r="AS172" s="459"/>
      <c r="AT172" s="459"/>
      <c r="AU172" s="459"/>
      <c r="AV172" s="459"/>
      <c r="AW172" s="459"/>
      <c r="AX172" s="459"/>
      <c r="AY172" s="459"/>
      <c r="AZ172" s="459"/>
      <c r="BA172" s="459"/>
      <c r="BB172" s="459"/>
      <c r="BC172" s="459"/>
      <c r="BD172" s="459"/>
      <c r="BE172" s="459"/>
      <c r="BF172" s="459"/>
      <c r="BG172" s="459"/>
      <c r="BH172" s="459"/>
      <c r="BI172" s="459"/>
      <c r="BJ172" s="459"/>
      <c r="BK172" s="459"/>
      <c r="BL172" s="459"/>
      <c r="BM172" s="459"/>
      <c r="BN172" s="459"/>
      <c r="BO172" s="459"/>
      <c r="BP172" s="459"/>
      <c r="BQ172" s="459"/>
      <c r="BR172" s="459"/>
      <c r="BS172" s="459"/>
      <c r="BT172" s="459"/>
      <c r="BU172" s="459"/>
      <c r="BV172" s="459"/>
      <c r="BW172" s="459"/>
      <c r="BX172" s="459"/>
      <c r="BY172" s="459"/>
      <c r="BZ172" s="459"/>
      <c r="CA172" s="459"/>
      <c r="CB172" s="459"/>
      <c r="CC172" s="459"/>
    </row>
    <row r="173" spans="1:81" s="467" customFormat="1" x14ac:dyDescent="0.2">
      <c r="A173" s="472"/>
      <c r="C173" s="473"/>
      <c r="G173" s="474"/>
      <c r="H173" s="473"/>
      <c r="P173" s="459"/>
      <c r="Q173" s="459"/>
      <c r="R173" s="459"/>
      <c r="S173" s="459"/>
      <c r="T173" s="459"/>
      <c r="U173" s="459"/>
      <c r="V173" s="459"/>
      <c r="W173" s="459"/>
      <c r="X173" s="459"/>
      <c r="Y173" s="459"/>
      <c r="Z173" s="459"/>
      <c r="AA173" s="459"/>
      <c r="AB173" s="459"/>
      <c r="AC173" s="459"/>
      <c r="AD173" s="459"/>
      <c r="AE173" s="459"/>
      <c r="AF173" s="459"/>
      <c r="AG173" s="459"/>
      <c r="AH173" s="459"/>
      <c r="AI173" s="459"/>
      <c r="AJ173" s="459"/>
      <c r="AK173" s="459"/>
      <c r="AL173" s="459"/>
      <c r="AM173" s="459"/>
      <c r="AN173" s="459"/>
      <c r="AO173" s="459"/>
      <c r="AP173" s="459"/>
      <c r="AQ173" s="459"/>
      <c r="AR173" s="459"/>
      <c r="AS173" s="459"/>
      <c r="AT173" s="459"/>
      <c r="AU173" s="459"/>
      <c r="AV173" s="459"/>
      <c r="AW173" s="459"/>
      <c r="AX173" s="459"/>
      <c r="AY173" s="459"/>
      <c r="AZ173" s="459"/>
      <c r="BA173" s="459"/>
      <c r="BB173" s="459"/>
      <c r="BC173" s="459"/>
      <c r="BD173" s="459"/>
      <c r="BE173" s="459"/>
      <c r="BF173" s="459"/>
      <c r="BG173" s="459"/>
      <c r="BH173" s="459"/>
      <c r="BI173" s="459"/>
      <c r="BJ173" s="459"/>
      <c r="BK173" s="459"/>
      <c r="BL173" s="459"/>
      <c r="BM173" s="459"/>
      <c r="BN173" s="459"/>
      <c r="BO173" s="459"/>
      <c r="BP173" s="459"/>
      <c r="BQ173" s="459"/>
      <c r="BR173" s="459"/>
      <c r="BS173" s="459"/>
      <c r="BT173" s="459"/>
      <c r="BU173" s="459"/>
      <c r="BV173" s="459"/>
      <c r="BW173" s="459"/>
      <c r="BX173" s="459"/>
      <c r="BY173" s="459"/>
      <c r="BZ173" s="459"/>
      <c r="CA173" s="459"/>
      <c r="CB173" s="459"/>
      <c r="CC173" s="459"/>
    </row>
    <row r="174" spans="1:81" s="467" customFormat="1" x14ac:dyDescent="0.2">
      <c r="A174" s="472"/>
      <c r="C174" s="473"/>
      <c r="G174" s="474"/>
      <c r="H174" s="473"/>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59"/>
      <c r="AY174" s="459"/>
      <c r="AZ174" s="459"/>
      <c r="BA174" s="459"/>
      <c r="BB174" s="459"/>
      <c r="BC174" s="459"/>
      <c r="BD174" s="459"/>
      <c r="BE174" s="459"/>
      <c r="BF174" s="459"/>
      <c r="BG174" s="459"/>
      <c r="BH174" s="459"/>
      <c r="BI174" s="459"/>
      <c r="BJ174" s="459"/>
      <c r="BK174" s="459"/>
      <c r="BL174" s="459"/>
      <c r="BM174" s="459"/>
      <c r="BN174" s="459"/>
      <c r="BO174" s="459"/>
      <c r="BP174" s="459"/>
      <c r="BQ174" s="459"/>
      <c r="BR174" s="459"/>
      <c r="BS174" s="459"/>
      <c r="BT174" s="459"/>
      <c r="BU174" s="459"/>
      <c r="BV174" s="459"/>
      <c r="BW174" s="459"/>
      <c r="BX174" s="459"/>
      <c r="BY174" s="459"/>
      <c r="BZ174" s="459"/>
      <c r="CA174" s="459"/>
      <c r="CB174" s="459"/>
      <c r="CC174" s="459"/>
    </row>
    <row r="175" spans="1:81" s="467" customFormat="1" x14ac:dyDescent="0.2">
      <c r="A175" s="472"/>
      <c r="C175" s="473"/>
      <c r="G175" s="474"/>
      <c r="H175" s="473"/>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459"/>
      <c r="AK175" s="459"/>
      <c r="AL175" s="459"/>
      <c r="AM175" s="459"/>
      <c r="AN175" s="459"/>
      <c r="AO175" s="459"/>
      <c r="AP175" s="459"/>
      <c r="AQ175" s="459"/>
      <c r="AR175" s="459"/>
      <c r="AS175" s="459"/>
      <c r="AT175" s="459"/>
      <c r="AU175" s="459"/>
      <c r="AV175" s="459"/>
      <c r="AW175" s="459"/>
      <c r="AX175" s="459"/>
      <c r="AY175" s="459"/>
      <c r="AZ175" s="459"/>
      <c r="BA175" s="459"/>
      <c r="BB175" s="459"/>
      <c r="BC175" s="459"/>
      <c r="BD175" s="459"/>
      <c r="BE175" s="459"/>
      <c r="BF175" s="459"/>
      <c r="BG175" s="459"/>
      <c r="BH175" s="459"/>
      <c r="BI175" s="459"/>
      <c r="BJ175" s="459"/>
      <c r="BK175" s="459"/>
      <c r="BL175" s="459"/>
      <c r="BM175" s="459"/>
      <c r="BN175" s="459"/>
      <c r="BO175" s="459"/>
      <c r="BP175" s="459"/>
      <c r="BQ175" s="459"/>
      <c r="BR175" s="459"/>
      <c r="BS175" s="459"/>
      <c r="BT175" s="459"/>
      <c r="BU175" s="459"/>
      <c r="BV175" s="459"/>
      <c r="BW175" s="459"/>
      <c r="BX175" s="459"/>
      <c r="BY175" s="459"/>
      <c r="BZ175" s="459"/>
      <c r="CA175" s="459"/>
      <c r="CB175" s="459"/>
      <c r="CC175" s="459"/>
    </row>
    <row r="176" spans="1:81" s="467" customFormat="1" x14ac:dyDescent="0.2">
      <c r="A176" s="472"/>
      <c r="C176" s="473"/>
      <c r="G176" s="474"/>
      <c r="H176" s="473"/>
      <c r="P176" s="459"/>
      <c r="Q176" s="459"/>
      <c r="R176" s="459"/>
      <c r="S176" s="459"/>
      <c r="T176" s="459"/>
      <c r="U176" s="459"/>
      <c r="V176" s="459"/>
      <c r="W176" s="459"/>
      <c r="X176" s="459"/>
      <c r="Y176" s="459"/>
      <c r="Z176" s="459"/>
      <c r="AA176" s="459"/>
      <c r="AB176" s="459"/>
      <c r="AC176" s="459"/>
      <c r="AD176" s="459"/>
      <c r="AE176" s="459"/>
      <c r="AF176" s="459"/>
      <c r="AG176" s="459"/>
      <c r="AH176" s="459"/>
      <c r="AI176" s="459"/>
      <c r="AJ176" s="459"/>
      <c r="AK176" s="459"/>
      <c r="AL176" s="459"/>
      <c r="AM176" s="459"/>
      <c r="AN176" s="459"/>
      <c r="AO176" s="459"/>
      <c r="AP176" s="459"/>
      <c r="AQ176" s="459"/>
      <c r="AR176" s="459"/>
      <c r="AS176" s="459"/>
      <c r="AT176" s="459"/>
      <c r="AU176" s="459"/>
      <c r="AV176" s="459"/>
      <c r="AW176" s="459"/>
      <c r="AX176" s="459"/>
      <c r="AY176" s="459"/>
      <c r="AZ176" s="459"/>
      <c r="BA176" s="459"/>
      <c r="BB176" s="459"/>
      <c r="BC176" s="459"/>
      <c r="BD176" s="459"/>
      <c r="BE176" s="459"/>
      <c r="BF176" s="459"/>
      <c r="BG176" s="459"/>
      <c r="BH176" s="459"/>
      <c r="BI176" s="459"/>
      <c r="BJ176" s="459"/>
      <c r="BK176" s="459"/>
      <c r="BL176" s="459"/>
      <c r="BM176" s="459"/>
      <c r="BN176" s="459"/>
      <c r="BO176" s="459"/>
      <c r="BP176" s="459"/>
      <c r="BQ176" s="459"/>
      <c r="BR176" s="459"/>
      <c r="BS176" s="459"/>
      <c r="BT176" s="459"/>
      <c r="BU176" s="459"/>
      <c r="BV176" s="459"/>
      <c r="BW176" s="459"/>
      <c r="BX176" s="459"/>
      <c r="BY176" s="459"/>
      <c r="BZ176" s="459"/>
      <c r="CA176" s="459"/>
      <c r="CB176" s="459"/>
      <c r="CC176" s="459"/>
    </row>
    <row r="177" spans="1:81" s="467" customFormat="1" x14ac:dyDescent="0.2">
      <c r="A177" s="472"/>
      <c r="C177" s="473"/>
      <c r="G177" s="474"/>
      <c r="H177" s="473"/>
      <c r="P177" s="459"/>
      <c r="Q177" s="459"/>
      <c r="R177" s="459"/>
      <c r="S177" s="459"/>
      <c r="T177" s="459"/>
      <c r="U177" s="459"/>
      <c r="V177" s="459"/>
      <c r="W177" s="459"/>
      <c r="X177" s="459"/>
      <c r="Y177" s="459"/>
      <c r="Z177" s="459"/>
      <c r="AA177" s="459"/>
      <c r="AB177" s="459"/>
      <c r="AC177" s="459"/>
      <c r="AD177" s="459"/>
      <c r="AE177" s="459"/>
      <c r="AF177" s="459"/>
      <c r="AG177" s="459"/>
      <c r="AH177" s="459"/>
      <c r="AI177" s="459"/>
      <c r="AJ177" s="459"/>
      <c r="AK177" s="459"/>
      <c r="AL177" s="459"/>
      <c r="AM177" s="459"/>
      <c r="AN177" s="459"/>
      <c r="AO177" s="459"/>
      <c r="AP177" s="459"/>
      <c r="AQ177" s="459"/>
      <c r="AR177" s="459"/>
      <c r="AS177" s="459"/>
      <c r="AT177" s="459"/>
      <c r="AU177" s="459"/>
      <c r="AV177" s="459"/>
      <c r="AW177" s="459"/>
      <c r="AX177" s="459"/>
      <c r="AY177" s="459"/>
      <c r="AZ177" s="459"/>
      <c r="BA177" s="459"/>
      <c r="BB177" s="459"/>
      <c r="BC177" s="459"/>
      <c r="BD177" s="459"/>
      <c r="BE177" s="459"/>
      <c r="BF177" s="459"/>
      <c r="BG177" s="459"/>
      <c r="BH177" s="459"/>
      <c r="BI177" s="459"/>
      <c r="BJ177" s="459"/>
      <c r="BK177" s="459"/>
      <c r="BL177" s="459"/>
      <c r="BM177" s="459"/>
      <c r="BN177" s="459"/>
      <c r="BO177" s="459"/>
      <c r="BP177" s="459"/>
      <c r="BQ177" s="459"/>
      <c r="BR177" s="459"/>
      <c r="BS177" s="459"/>
      <c r="BT177" s="459"/>
      <c r="BU177" s="459"/>
      <c r="BV177" s="459"/>
      <c r="BW177" s="459"/>
      <c r="BX177" s="459"/>
      <c r="BY177" s="459"/>
      <c r="BZ177" s="459"/>
      <c r="CA177" s="459"/>
      <c r="CB177" s="459"/>
      <c r="CC177" s="459"/>
    </row>
    <row r="178" spans="1:81" s="467" customFormat="1" x14ac:dyDescent="0.2">
      <c r="A178" s="472"/>
      <c r="C178" s="473"/>
      <c r="G178" s="474"/>
      <c r="H178" s="473"/>
      <c r="P178" s="459"/>
      <c r="Q178" s="459"/>
      <c r="R178" s="459"/>
      <c r="S178" s="459"/>
      <c r="T178" s="459"/>
      <c r="U178" s="459"/>
      <c r="V178" s="459"/>
      <c r="W178" s="459"/>
      <c r="X178" s="459"/>
      <c r="Y178" s="459"/>
      <c r="Z178" s="459"/>
      <c r="AA178" s="459"/>
      <c r="AB178" s="459"/>
      <c r="AC178" s="459"/>
      <c r="AD178" s="459"/>
      <c r="AE178" s="459"/>
      <c r="AF178" s="459"/>
      <c r="AG178" s="459"/>
      <c r="AH178" s="459"/>
      <c r="AI178" s="459"/>
      <c r="AJ178" s="459"/>
      <c r="AK178" s="459"/>
      <c r="AL178" s="459"/>
      <c r="AM178" s="459"/>
      <c r="AN178" s="459"/>
      <c r="AO178" s="459"/>
      <c r="AP178" s="459"/>
      <c r="AQ178" s="459"/>
      <c r="AR178" s="459"/>
      <c r="AS178" s="459"/>
      <c r="AT178" s="459"/>
      <c r="AU178" s="459"/>
      <c r="AV178" s="459"/>
      <c r="AW178" s="459"/>
      <c r="AX178" s="459"/>
      <c r="AY178" s="459"/>
      <c r="AZ178" s="459"/>
      <c r="BA178" s="459"/>
      <c r="BB178" s="459"/>
      <c r="BC178" s="459"/>
      <c r="BD178" s="459"/>
      <c r="BE178" s="459"/>
      <c r="BF178" s="459"/>
      <c r="BG178" s="459"/>
      <c r="BH178" s="459"/>
      <c r="BI178" s="459"/>
      <c r="BJ178" s="459"/>
      <c r="BK178" s="459"/>
      <c r="BL178" s="459"/>
      <c r="BM178" s="459"/>
      <c r="BN178" s="459"/>
      <c r="BO178" s="459"/>
      <c r="BP178" s="459"/>
      <c r="BQ178" s="459"/>
      <c r="BR178" s="459"/>
      <c r="BS178" s="459"/>
      <c r="BT178" s="459"/>
      <c r="BU178" s="459"/>
      <c r="BV178" s="459"/>
      <c r="BW178" s="459"/>
      <c r="BX178" s="459"/>
      <c r="BY178" s="459"/>
      <c r="BZ178" s="459"/>
      <c r="CA178" s="459"/>
      <c r="CB178" s="459"/>
      <c r="CC178" s="459"/>
    </row>
    <row r="179" spans="1:81" s="467" customFormat="1" x14ac:dyDescent="0.2">
      <c r="A179" s="472"/>
      <c r="C179" s="473"/>
      <c r="G179" s="474"/>
      <c r="H179" s="473"/>
      <c r="P179" s="459"/>
      <c r="Q179" s="459"/>
      <c r="R179" s="459"/>
      <c r="S179" s="459"/>
      <c r="T179" s="459"/>
      <c r="U179" s="459"/>
      <c r="V179" s="459"/>
      <c r="W179" s="459"/>
      <c r="X179" s="459"/>
      <c r="Y179" s="459"/>
      <c r="Z179" s="459"/>
      <c r="AA179" s="459"/>
      <c r="AB179" s="459"/>
      <c r="AC179" s="459"/>
      <c r="AD179" s="459"/>
      <c r="AE179" s="459"/>
      <c r="AF179" s="459"/>
      <c r="AG179" s="459"/>
      <c r="AH179" s="459"/>
      <c r="AI179" s="459"/>
      <c r="AJ179" s="459"/>
      <c r="AK179" s="459"/>
      <c r="AL179" s="459"/>
      <c r="AM179" s="459"/>
      <c r="AN179" s="459"/>
      <c r="AO179" s="459"/>
      <c r="AP179" s="459"/>
      <c r="AQ179" s="459"/>
      <c r="AR179" s="459"/>
      <c r="AS179" s="459"/>
      <c r="AT179" s="459"/>
      <c r="AU179" s="459"/>
      <c r="AV179" s="459"/>
      <c r="AW179" s="459"/>
      <c r="AX179" s="459"/>
      <c r="AY179" s="459"/>
      <c r="AZ179" s="459"/>
      <c r="BA179" s="459"/>
      <c r="BB179" s="459"/>
      <c r="BC179" s="459"/>
      <c r="BD179" s="459"/>
      <c r="BE179" s="459"/>
      <c r="BF179" s="459"/>
      <c r="BG179" s="459"/>
      <c r="BH179" s="459"/>
      <c r="BI179" s="459"/>
      <c r="BJ179" s="459"/>
      <c r="BK179" s="459"/>
      <c r="BL179" s="459"/>
      <c r="BM179" s="459"/>
      <c r="BN179" s="459"/>
      <c r="BO179" s="459"/>
      <c r="BP179" s="459"/>
      <c r="BQ179" s="459"/>
      <c r="BR179" s="459"/>
      <c r="BS179" s="459"/>
      <c r="BT179" s="459"/>
      <c r="BU179" s="459"/>
      <c r="BV179" s="459"/>
      <c r="BW179" s="459"/>
      <c r="BX179" s="459"/>
      <c r="BY179" s="459"/>
      <c r="BZ179" s="459"/>
      <c r="CA179" s="459"/>
      <c r="CB179" s="459"/>
      <c r="CC179" s="459"/>
    </row>
    <row r="180" spans="1:81" s="467" customFormat="1" x14ac:dyDescent="0.2">
      <c r="A180" s="472"/>
      <c r="C180" s="473"/>
      <c r="G180" s="474"/>
      <c r="H180" s="473"/>
      <c r="P180" s="459"/>
      <c r="Q180" s="459"/>
      <c r="R180" s="459"/>
      <c r="S180" s="459"/>
      <c r="T180" s="459"/>
      <c r="U180" s="459"/>
      <c r="V180" s="459"/>
      <c r="W180" s="459"/>
      <c r="X180" s="459"/>
      <c r="Y180" s="459"/>
      <c r="Z180" s="459"/>
      <c r="AA180" s="459"/>
      <c r="AB180" s="459"/>
      <c r="AC180" s="459"/>
      <c r="AD180" s="459"/>
      <c r="AE180" s="459"/>
      <c r="AF180" s="459"/>
      <c r="AG180" s="459"/>
      <c r="AH180" s="459"/>
      <c r="AI180" s="459"/>
      <c r="AJ180" s="459"/>
      <c r="AK180" s="459"/>
      <c r="AL180" s="459"/>
      <c r="AM180" s="459"/>
      <c r="AN180" s="459"/>
      <c r="AO180" s="459"/>
      <c r="AP180" s="459"/>
      <c r="AQ180" s="459"/>
      <c r="AR180" s="459"/>
      <c r="AS180" s="459"/>
      <c r="AT180" s="459"/>
      <c r="AU180" s="459"/>
      <c r="AV180" s="459"/>
      <c r="AW180" s="459"/>
      <c r="AX180" s="459"/>
      <c r="AY180" s="459"/>
      <c r="AZ180" s="459"/>
      <c r="BA180" s="459"/>
      <c r="BB180" s="459"/>
      <c r="BC180" s="459"/>
      <c r="BD180" s="459"/>
      <c r="BE180" s="459"/>
      <c r="BF180" s="459"/>
      <c r="BG180" s="459"/>
      <c r="BH180" s="459"/>
      <c r="BI180" s="459"/>
      <c r="BJ180" s="459"/>
      <c r="BK180" s="459"/>
      <c r="BL180" s="459"/>
      <c r="BM180" s="459"/>
      <c r="BN180" s="459"/>
      <c r="BO180" s="459"/>
      <c r="BP180" s="459"/>
      <c r="BQ180" s="459"/>
      <c r="BR180" s="459"/>
      <c r="BS180" s="459"/>
      <c r="BT180" s="459"/>
      <c r="BU180" s="459"/>
      <c r="BV180" s="459"/>
      <c r="BW180" s="459"/>
      <c r="BX180" s="459"/>
      <c r="BY180" s="459"/>
      <c r="BZ180" s="459"/>
      <c r="CA180" s="459"/>
      <c r="CB180" s="459"/>
      <c r="CC180" s="459"/>
    </row>
    <row r="181" spans="1:81" s="467" customFormat="1" x14ac:dyDescent="0.2">
      <c r="A181" s="472"/>
      <c r="C181" s="473"/>
      <c r="G181" s="474"/>
      <c r="H181" s="473"/>
      <c r="P181" s="459"/>
      <c r="Q181" s="459"/>
      <c r="R181" s="459"/>
      <c r="S181" s="459"/>
      <c r="T181" s="459"/>
      <c r="U181" s="459"/>
      <c r="V181" s="459"/>
      <c r="W181" s="459"/>
      <c r="X181" s="459"/>
      <c r="Y181" s="459"/>
      <c r="Z181" s="459"/>
      <c r="AA181" s="459"/>
      <c r="AB181" s="459"/>
      <c r="AC181" s="459"/>
      <c r="AD181" s="459"/>
      <c r="AE181" s="459"/>
      <c r="AF181" s="459"/>
      <c r="AG181" s="459"/>
      <c r="AH181" s="459"/>
      <c r="AI181" s="459"/>
      <c r="AJ181" s="459"/>
      <c r="AK181" s="459"/>
      <c r="AL181" s="459"/>
      <c r="AM181" s="459"/>
      <c r="AN181" s="459"/>
      <c r="AO181" s="459"/>
      <c r="AP181" s="459"/>
      <c r="AQ181" s="459"/>
      <c r="AR181" s="459"/>
      <c r="AS181" s="459"/>
      <c r="AT181" s="459"/>
      <c r="AU181" s="459"/>
      <c r="AV181" s="459"/>
      <c r="AW181" s="459"/>
      <c r="AX181" s="459"/>
      <c r="AY181" s="459"/>
      <c r="AZ181" s="459"/>
      <c r="BA181" s="459"/>
      <c r="BB181" s="459"/>
      <c r="BC181" s="459"/>
      <c r="BD181" s="459"/>
      <c r="BE181" s="459"/>
      <c r="BF181" s="459"/>
      <c r="BG181" s="459"/>
      <c r="BH181" s="459"/>
      <c r="BI181" s="459"/>
      <c r="BJ181" s="459"/>
      <c r="BK181" s="459"/>
      <c r="BL181" s="459"/>
      <c r="BM181" s="459"/>
      <c r="BN181" s="459"/>
      <c r="BO181" s="459"/>
      <c r="BP181" s="459"/>
      <c r="BQ181" s="459"/>
      <c r="BR181" s="459"/>
      <c r="BS181" s="459"/>
      <c r="BT181" s="459"/>
      <c r="BU181" s="459"/>
      <c r="BV181" s="459"/>
      <c r="BW181" s="459"/>
      <c r="BX181" s="459"/>
      <c r="BY181" s="459"/>
      <c r="BZ181" s="459"/>
      <c r="CA181" s="459"/>
      <c r="CB181" s="459"/>
      <c r="CC181" s="459"/>
    </row>
    <row r="182" spans="1:81" s="467" customFormat="1" x14ac:dyDescent="0.2">
      <c r="A182" s="472"/>
      <c r="C182" s="473"/>
      <c r="G182" s="474"/>
      <c r="H182" s="473"/>
      <c r="P182" s="459"/>
      <c r="Q182" s="459"/>
      <c r="R182" s="459"/>
      <c r="S182" s="459"/>
      <c r="T182" s="459"/>
      <c r="U182" s="459"/>
      <c r="V182" s="459"/>
      <c r="W182" s="459"/>
      <c r="X182" s="459"/>
      <c r="Y182" s="459"/>
      <c r="Z182" s="459"/>
      <c r="AA182" s="459"/>
      <c r="AB182" s="459"/>
      <c r="AC182" s="459"/>
      <c r="AD182" s="459"/>
      <c r="AE182" s="459"/>
      <c r="AF182" s="459"/>
      <c r="AG182" s="459"/>
      <c r="AH182" s="459"/>
      <c r="AI182" s="459"/>
      <c r="AJ182" s="459"/>
      <c r="AK182" s="459"/>
      <c r="AL182" s="459"/>
      <c r="AM182" s="459"/>
      <c r="AN182" s="459"/>
      <c r="AO182" s="459"/>
      <c r="AP182" s="459"/>
      <c r="AQ182" s="459"/>
      <c r="AR182" s="459"/>
      <c r="AS182" s="459"/>
      <c r="AT182" s="459"/>
      <c r="AU182" s="459"/>
      <c r="AV182" s="459"/>
      <c r="AW182" s="459"/>
      <c r="AX182" s="459"/>
      <c r="AY182" s="459"/>
      <c r="AZ182" s="459"/>
      <c r="BA182" s="459"/>
      <c r="BB182" s="459"/>
      <c r="BC182" s="459"/>
      <c r="BD182" s="459"/>
      <c r="BE182" s="459"/>
      <c r="BF182" s="459"/>
      <c r="BG182" s="459"/>
      <c r="BH182" s="459"/>
      <c r="BI182" s="459"/>
      <c r="BJ182" s="459"/>
      <c r="BK182" s="459"/>
      <c r="BL182" s="459"/>
      <c r="BM182" s="459"/>
      <c r="BN182" s="459"/>
      <c r="BO182" s="459"/>
      <c r="BP182" s="459"/>
      <c r="BQ182" s="459"/>
      <c r="BR182" s="459"/>
      <c r="BS182" s="459"/>
      <c r="BT182" s="459"/>
      <c r="BU182" s="459"/>
      <c r="BV182" s="459"/>
      <c r="BW182" s="459"/>
      <c r="BX182" s="459"/>
      <c r="BY182" s="459"/>
      <c r="BZ182" s="459"/>
      <c r="CA182" s="459"/>
      <c r="CB182" s="459"/>
      <c r="CC182" s="459"/>
    </row>
    <row r="183" spans="1:81" s="467" customFormat="1" x14ac:dyDescent="0.2">
      <c r="A183" s="472"/>
      <c r="C183" s="473"/>
      <c r="G183" s="474"/>
      <c r="H183" s="473"/>
      <c r="P183" s="459"/>
      <c r="Q183" s="459"/>
      <c r="R183" s="459"/>
      <c r="S183" s="459"/>
      <c r="T183" s="459"/>
      <c r="U183" s="459"/>
      <c r="V183" s="459"/>
      <c r="W183" s="459"/>
      <c r="X183" s="459"/>
      <c r="Y183" s="459"/>
      <c r="Z183" s="459"/>
      <c r="AA183" s="459"/>
      <c r="AB183" s="459"/>
      <c r="AC183" s="459"/>
      <c r="AD183" s="459"/>
      <c r="AE183" s="459"/>
      <c r="AF183" s="459"/>
      <c r="AG183" s="459"/>
      <c r="AH183" s="459"/>
      <c r="AI183" s="459"/>
      <c r="AJ183" s="459"/>
      <c r="AK183" s="459"/>
      <c r="AL183" s="459"/>
      <c r="AM183" s="459"/>
      <c r="AN183" s="459"/>
      <c r="AO183" s="459"/>
      <c r="AP183" s="459"/>
      <c r="AQ183" s="459"/>
      <c r="AR183" s="459"/>
      <c r="AS183" s="459"/>
      <c r="AT183" s="459"/>
      <c r="AU183" s="459"/>
      <c r="AV183" s="459"/>
      <c r="AW183" s="459"/>
      <c r="AX183" s="459"/>
      <c r="AY183" s="459"/>
      <c r="AZ183" s="459"/>
      <c r="BA183" s="459"/>
      <c r="BB183" s="459"/>
      <c r="BC183" s="459"/>
      <c r="BD183" s="459"/>
      <c r="BE183" s="459"/>
      <c r="BF183" s="459"/>
      <c r="BG183" s="459"/>
      <c r="BH183" s="459"/>
      <c r="BI183" s="459"/>
      <c r="BJ183" s="459"/>
      <c r="BK183" s="459"/>
      <c r="BL183" s="459"/>
      <c r="BM183" s="459"/>
      <c r="BN183" s="459"/>
      <c r="BO183" s="459"/>
      <c r="BP183" s="459"/>
      <c r="BQ183" s="459"/>
      <c r="BR183" s="459"/>
      <c r="BS183" s="459"/>
      <c r="BT183" s="459"/>
      <c r="BU183" s="459"/>
      <c r="BV183" s="459"/>
      <c r="BW183" s="459"/>
      <c r="BX183" s="459"/>
      <c r="BY183" s="459"/>
      <c r="BZ183" s="459"/>
      <c r="CA183" s="459"/>
      <c r="CB183" s="459"/>
      <c r="CC183" s="459"/>
    </row>
    <row r="184" spans="1:81" s="467" customFormat="1" x14ac:dyDescent="0.2">
      <c r="A184" s="472"/>
      <c r="C184" s="473"/>
      <c r="G184" s="474"/>
      <c r="H184" s="473"/>
      <c r="P184" s="459"/>
      <c r="Q184" s="459"/>
      <c r="R184" s="459"/>
      <c r="S184" s="459"/>
      <c r="T184" s="459"/>
      <c r="U184" s="459"/>
      <c r="V184" s="459"/>
      <c r="W184" s="459"/>
      <c r="X184" s="459"/>
      <c r="Y184" s="459"/>
      <c r="Z184" s="459"/>
      <c r="AA184" s="459"/>
      <c r="AB184" s="459"/>
      <c r="AC184" s="459"/>
      <c r="AD184" s="459"/>
      <c r="AE184" s="459"/>
      <c r="AF184" s="459"/>
      <c r="AG184" s="459"/>
      <c r="AH184" s="459"/>
      <c r="AI184" s="459"/>
      <c r="AJ184" s="459"/>
      <c r="AK184" s="459"/>
      <c r="AL184" s="459"/>
      <c r="AM184" s="459"/>
      <c r="AN184" s="459"/>
      <c r="AO184" s="459"/>
      <c r="AP184" s="459"/>
      <c r="AQ184" s="459"/>
      <c r="AR184" s="459"/>
      <c r="AS184" s="459"/>
      <c r="AT184" s="459"/>
      <c r="AU184" s="459"/>
      <c r="AV184" s="459"/>
      <c r="AW184" s="459"/>
      <c r="AX184" s="459"/>
      <c r="AY184" s="459"/>
      <c r="AZ184" s="459"/>
      <c r="BA184" s="459"/>
      <c r="BB184" s="459"/>
      <c r="BC184" s="459"/>
      <c r="BD184" s="459"/>
      <c r="BE184" s="459"/>
      <c r="BF184" s="459"/>
      <c r="BG184" s="459"/>
      <c r="BH184" s="459"/>
      <c r="BI184" s="459"/>
      <c r="BJ184" s="459"/>
      <c r="BK184" s="459"/>
      <c r="BL184" s="459"/>
      <c r="BM184" s="459"/>
      <c r="BN184" s="459"/>
      <c r="BO184" s="459"/>
      <c r="BP184" s="459"/>
      <c r="BQ184" s="459"/>
      <c r="BR184" s="459"/>
      <c r="BS184" s="459"/>
      <c r="BT184" s="459"/>
      <c r="BU184" s="459"/>
      <c r="BV184" s="459"/>
      <c r="BW184" s="459"/>
      <c r="BX184" s="459"/>
      <c r="BY184" s="459"/>
      <c r="BZ184" s="459"/>
      <c r="CA184" s="459"/>
      <c r="CB184" s="459"/>
      <c r="CC184" s="459"/>
    </row>
    <row r="185" spans="1:81" s="467" customFormat="1" x14ac:dyDescent="0.2">
      <c r="A185" s="472"/>
      <c r="C185" s="473"/>
      <c r="G185" s="474"/>
      <c r="H185" s="473"/>
      <c r="P185" s="459"/>
      <c r="Q185" s="459"/>
      <c r="R185" s="459"/>
      <c r="S185" s="459"/>
      <c r="T185" s="459"/>
      <c r="U185" s="459"/>
      <c r="V185" s="459"/>
      <c r="W185" s="459"/>
      <c r="X185" s="459"/>
      <c r="Y185" s="459"/>
      <c r="Z185" s="459"/>
      <c r="AA185" s="459"/>
      <c r="AB185" s="459"/>
      <c r="AC185" s="459"/>
      <c r="AD185" s="459"/>
      <c r="AE185" s="459"/>
      <c r="AF185" s="459"/>
      <c r="AG185" s="459"/>
      <c r="AH185" s="459"/>
      <c r="AI185" s="459"/>
      <c r="AJ185" s="459"/>
      <c r="AK185" s="459"/>
      <c r="AL185" s="459"/>
      <c r="AM185" s="459"/>
      <c r="AN185" s="459"/>
      <c r="AO185" s="459"/>
      <c r="AP185" s="459"/>
      <c r="AQ185" s="459"/>
      <c r="AR185" s="459"/>
      <c r="AS185" s="459"/>
      <c r="AT185" s="459"/>
      <c r="AU185" s="459"/>
      <c r="AV185" s="459"/>
      <c r="AW185" s="459"/>
      <c r="AX185" s="459"/>
      <c r="AY185" s="459"/>
      <c r="AZ185" s="459"/>
      <c r="BA185" s="459"/>
      <c r="BB185" s="459"/>
      <c r="BC185" s="459"/>
      <c r="BD185" s="459"/>
      <c r="BE185" s="459"/>
      <c r="BF185" s="459"/>
      <c r="BG185" s="459"/>
      <c r="BH185" s="459"/>
      <c r="BI185" s="459"/>
      <c r="BJ185" s="459"/>
      <c r="BK185" s="459"/>
      <c r="BL185" s="459"/>
      <c r="BM185" s="459"/>
      <c r="BN185" s="459"/>
      <c r="BO185" s="459"/>
      <c r="BP185" s="459"/>
      <c r="BQ185" s="459"/>
      <c r="BR185" s="459"/>
      <c r="BS185" s="459"/>
      <c r="BT185" s="459"/>
      <c r="BU185" s="459"/>
      <c r="BV185" s="459"/>
      <c r="BW185" s="459"/>
      <c r="BX185" s="459"/>
      <c r="BY185" s="459"/>
      <c r="BZ185" s="459"/>
      <c r="CA185" s="459"/>
      <c r="CB185" s="459"/>
      <c r="CC185" s="459"/>
    </row>
    <row r="186" spans="1:81" s="467" customFormat="1" x14ac:dyDescent="0.2">
      <c r="A186" s="472"/>
      <c r="C186" s="473"/>
      <c r="G186" s="474"/>
      <c r="H186" s="473"/>
      <c r="P186" s="459"/>
      <c r="Q186" s="459"/>
      <c r="R186" s="459"/>
      <c r="S186" s="459"/>
      <c r="T186" s="459"/>
      <c r="U186" s="459"/>
      <c r="V186" s="459"/>
      <c r="W186" s="459"/>
      <c r="X186" s="459"/>
      <c r="Y186" s="459"/>
      <c r="Z186" s="459"/>
      <c r="AA186" s="459"/>
      <c r="AB186" s="459"/>
      <c r="AC186" s="459"/>
      <c r="AD186" s="459"/>
      <c r="AE186" s="459"/>
      <c r="AF186" s="459"/>
      <c r="AG186" s="459"/>
      <c r="AH186" s="459"/>
      <c r="AI186" s="459"/>
      <c r="AJ186" s="459"/>
      <c r="AK186" s="459"/>
      <c r="AL186" s="459"/>
      <c r="AM186" s="459"/>
      <c r="AN186" s="459"/>
      <c r="AO186" s="459"/>
      <c r="AP186" s="459"/>
      <c r="AQ186" s="459"/>
      <c r="AR186" s="459"/>
      <c r="AS186" s="459"/>
      <c r="AT186" s="459"/>
      <c r="AU186" s="459"/>
      <c r="AV186" s="459"/>
      <c r="AW186" s="459"/>
      <c r="AX186" s="459"/>
      <c r="AY186" s="459"/>
      <c r="AZ186" s="459"/>
      <c r="BA186" s="459"/>
      <c r="BB186" s="459"/>
      <c r="BC186" s="459"/>
      <c r="BD186" s="459"/>
      <c r="BE186" s="459"/>
      <c r="BF186" s="459"/>
      <c r="BG186" s="459"/>
      <c r="BH186" s="459"/>
      <c r="BI186" s="459"/>
      <c r="BJ186" s="459"/>
      <c r="BK186" s="459"/>
      <c r="BL186" s="459"/>
      <c r="BM186" s="459"/>
      <c r="BN186" s="459"/>
      <c r="BO186" s="459"/>
      <c r="BP186" s="459"/>
      <c r="BQ186" s="459"/>
      <c r="BR186" s="459"/>
      <c r="BS186" s="459"/>
      <c r="BT186" s="459"/>
      <c r="BU186" s="459"/>
      <c r="BV186" s="459"/>
      <c r="BW186" s="459"/>
      <c r="BX186" s="459"/>
      <c r="BY186" s="459"/>
      <c r="BZ186" s="459"/>
      <c r="CA186" s="459"/>
      <c r="CB186" s="459"/>
      <c r="CC186" s="459"/>
    </row>
    <row r="187" spans="1:81" s="467" customFormat="1" x14ac:dyDescent="0.2">
      <c r="A187" s="472"/>
      <c r="C187" s="473"/>
      <c r="G187" s="474"/>
      <c r="H187" s="473"/>
      <c r="P187" s="459"/>
      <c r="Q187" s="459"/>
      <c r="R187" s="459"/>
      <c r="S187" s="459"/>
      <c r="T187" s="459"/>
      <c r="U187" s="459"/>
      <c r="V187" s="459"/>
      <c r="W187" s="459"/>
      <c r="X187" s="459"/>
      <c r="Y187" s="459"/>
      <c r="Z187" s="459"/>
      <c r="AA187" s="459"/>
      <c r="AB187" s="459"/>
      <c r="AC187" s="459"/>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59"/>
      <c r="AY187" s="459"/>
      <c r="AZ187" s="459"/>
      <c r="BA187" s="459"/>
      <c r="BB187" s="459"/>
      <c r="BC187" s="459"/>
      <c r="BD187" s="459"/>
      <c r="BE187" s="459"/>
      <c r="BF187" s="459"/>
      <c r="BG187" s="459"/>
      <c r="BH187" s="459"/>
      <c r="BI187" s="459"/>
      <c r="BJ187" s="459"/>
      <c r="BK187" s="459"/>
      <c r="BL187" s="459"/>
      <c r="BM187" s="459"/>
      <c r="BN187" s="459"/>
      <c r="BO187" s="459"/>
      <c r="BP187" s="459"/>
      <c r="BQ187" s="459"/>
      <c r="BR187" s="459"/>
      <c r="BS187" s="459"/>
      <c r="BT187" s="459"/>
      <c r="BU187" s="459"/>
      <c r="BV187" s="459"/>
      <c r="BW187" s="459"/>
      <c r="BX187" s="459"/>
      <c r="BY187" s="459"/>
      <c r="BZ187" s="459"/>
      <c r="CA187" s="459"/>
      <c r="CB187" s="459"/>
      <c r="CC187" s="459"/>
    </row>
    <row r="188" spans="1:81" s="467" customFormat="1" x14ac:dyDescent="0.2">
      <c r="A188" s="472"/>
      <c r="C188" s="473"/>
      <c r="G188" s="474"/>
      <c r="H188" s="473"/>
      <c r="P188" s="459"/>
      <c r="Q188" s="459"/>
      <c r="R188" s="459"/>
      <c r="S188" s="459"/>
      <c r="T188" s="459"/>
      <c r="U188" s="459"/>
      <c r="V188" s="459"/>
      <c r="W188" s="459"/>
      <c r="X188" s="459"/>
      <c r="Y188" s="459"/>
      <c r="Z188" s="459"/>
      <c r="AA188" s="459"/>
      <c r="AB188" s="459"/>
      <c r="AC188" s="459"/>
      <c r="AD188" s="459"/>
      <c r="AE188" s="459"/>
      <c r="AF188" s="459"/>
      <c r="AG188" s="459"/>
      <c r="AH188" s="459"/>
      <c r="AI188" s="459"/>
      <c r="AJ188" s="459"/>
      <c r="AK188" s="459"/>
      <c r="AL188" s="459"/>
      <c r="AM188" s="459"/>
      <c r="AN188" s="459"/>
      <c r="AO188" s="459"/>
      <c r="AP188" s="459"/>
      <c r="AQ188" s="459"/>
      <c r="AR188" s="459"/>
      <c r="AS188" s="459"/>
      <c r="AT188" s="459"/>
      <c r="AU188" s="459"/>
      <c r="AV188" s="459"/>
      <c r="AW188" s="459"/>
      <c r="AX188" s="459"/>
      <c r="AY188" s="459"/>
      <c r="AZ188" s="459"/>
      <c r="BA188" s="459"/>
      <c r="BB188" s="459"/>
      <c r="BC188" s="459"/>
      <c r="BD188" s="459"/>
      <c r="BE188" s="459"/>
      <c r="BF188" s="459"/>
      <c r="BG188" s="459"/>
      <c r="BH188" s="459"/>
      <c r="BI188" s="459"/>
      <c r="BJ188" s="459"/>
      <c r="BK188" s="459"/>
      <c r="BL188" s="459"/>
      <c r="BM188" s="459"/>
      <c r="BN188" s="459"/>
      <c r="BO188" s="459"/>
      <c r="BP188" s="459"/>
      <c r="BQ188" s="459"/>
      <c r="BR188" s="459"/>
      <c r="BS188" s="459"/>
      <c r="BT188" s="459"/>
      <c r="BU188" s="459"/>
      <c r="BV188" s="459"/>
      <c r="BW188" s="459"/>
      <c r="BX188" s="459"/>
      <c r="BY188" s="459"/>
      <c r="BZ188" s="459"/>
      <c r="CA188" s="459"/>
      <c r="CB188" s="459"/>
      <c r="CC188" s="459"/>
    </row>
    <row r="189" spans="1:81" s="467" customFormat="1" x14ac:dyDescent="0.2">
      <c r="A189" s="472"/>
      <c r="C189" s="473"/>
      <c r="G189" s="474"/>
      <c r="H189" s="473"/>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459"/>
      <c r="AK189" s="459"/>
      <c r="AL189" s="459"/>
      <c r="AM189" s="459"/>
      <c r="AN189" s="459"/>
      <c r="AO189" s="459"/>
      <c r="AP189" s="459"/>
      <c r="AQ189" s="459"/>
      <c r="AR189" s="459"/>
      <c r="AS189" s="459"/>
      <c r="AT189" s="459"/>
      <c r="AU189" s="459"/>
      <c r="AV189" s="459"/>
      <c r="AW189" s="459"/>
      <c r="AX189" s="459"/>
      <c r="AY189" s="459"/>
      <c r="AZ189" s="459"/>
      <c r="BA189" s="459"/>
      <c r="BB189" s="459"/>
      <c r="BC189" s="459"/>
      <c r="BD189" s="459"/>
      <c r="BE189" s="459"/>
      <c r="BF189" s="459"/>
      <c r="BG189" s="459"/>
      <c r="BH189" s="459"/>
      <c r="BI189" s="459"/>
      <c r="BJ189" s="459"/>
      <c r="BK189" s="459"/>
      <c r="BL189" s="459"/>
      <c r="BM189" s="459"/>
      <c r="BN189" s="459"/>
      <c r="BO189" s="459"/>
      <c r="BP189" s="459"/>
      <c r="BQ189" s="459"/>
      <c r="BR189" s="459"/>
      <c r="BS189" s="459"/>
      <c r="BT189" s="459"/>
      <c r="BU189" s="459"/>
      <c r="BV189" s="459"/>
      <c r="BW189" s="459"/>
      <c r="BX189" s="459"/>
      <c r="BY189" s="459"/>
      <c r="BZ189" s="459"/>
      <c r="CA189" s="459"/>
      <c r="CB189" s="459"/>
      <c r="CC189" s="459"/>
    </row>
    <row r="190" spans="1:81" s="467" customFormat="1" x14ac:dyDescent="0.2">
      <c r="A190" s="472"/>
      <c r="C190" s="473"/>
      <c r="G190" s="474"/>
      <c r="H190" s="473"/>
      <c r="P190" s="459"/>
      <c r="Q190" s="459"/>
      <c r="R190" s="459"/>
      <c r="S190" s="459"/>
      <c r="T190" s="459"/>
      <c r="U190" s="459"/>
      <c r="V190" s="459"/>
      <c r="W190" s="459"/>
      <c r="X190" s="459"/>
      <c r="Y190" s="459"/>
      <c r="Z190" s="459"/>
      <c r="AA190" s="459"/>
      <c r="AB190" s="459"/>
      <c r="AC190" s="459"/>
      <c r="AD190" s="459"/>
      <c r="AE190" s="459"/>
      <c r="AF190" s="459"/>
      <c r="AG190" s="459"/>
      <c r="AH190" s="459"/>
      <c r="AI190" s="459"/>
      <c r="AJ190" s="459"/>
      <c r="AK190" s="459"/>
      <c r="AL190" s="459"/>
      <c r="AM190" s="459"/>
      <c r="AN190" s="459"/>
      <c r="AO190" s="459"/>
      <c r="AP190" s="459"/>
      <c r="AQ190" s="459"/>
      <c r="AR190" s="459"/>
      <c r="AS190" s="459"/>
      <c r="AT190" s="459"/>
      <c r="AU190" s="459"/>
      <c r="AV190" s="459"/>
      <c r="AW190" s="459"/>
      <c r="AX190" s="459"/>
      <c r="AY190" s="459"/>
      <c r="AZ190" s="459"/>
      <c r="BA190" s="459"/>
      <c r="BB190" s="459"/>
      <c r="BC190" s="459"/>
      <c r="BD190" s="459"/>
      <c r="BE190" s="459"/>
      <c r="BF190" s="459"/>
      <c r="BG190" s="459"/>
      <c r="BH190" s="459"/>
      <c r="BI190" s="459"/>
      <c r="BJ190" s="459"/>
      <c r="BK190" s="459"/>
      <c r="BL190" s="459"/>
      <c r="BM190" s="459"/>
      <c r="BN190" s="459"/>
      <c r="BO190" s="459"/>
      <c r="BP190" s="459"/>
      <c r="BQ190" s="459"/>
      <c r="BR190" s="459"/>
      <c r="BS190" s="459"/>
      <c r="BT190" s="459"/>
      <c r="BU190" s="459"/>
      <c r="BV190" s="459"/>
      <c r="BW190" s="459"/>
      <c r="BX190" s="459"/>
      <c r="BY190" s="459"/>
      <c r="BZ190" s="459"/>
      <c r="CA190" s="459"/>
      <c r="CB190" s="459"/>
      <c r="CC190" s="459"/>
    </row>
    <row r="191" spans="1:81" s="467" customFormat="1" x14ac:dyDescent="0.2">
      <c r="A191" s="472"/>
      <c r="C191" s="473"/>
      <c r="G191" s="474"/>
      <c r="H191" s="473"/>
      <c r="P191" s="459"/>
      <c r="Q191" s="459"/>
      <c r="R191" s="459"/>
      <c r="S191" s="459"/>
      <c r="T191" s="459"/>
      <c r="U191" s="459"/>
      <c r="V191" s="459"/>
      <c r="W191" s="459"/>
      <c r="X191" s="459"/>
      <c r="Y191" s="459"/>
      <c r="Z191" s="459"/>
      <c r="AA191" s="459"/>
      <c r="AB191" s="459"/>
      <c r="AC191" s="459"/>
      <c r="AD191" s="459"/>
      <c r="AE191" s="459"/>
      <c r="AF191" s="459"/>
      <c r="AG191" s="459"/>
      <c r="AH191" s="459"/>
      <c r="AI191" s="459"/>
      <c r="AJ191" s="459"/>
      <c r="AK191" s="459"/>
      <c r="AL191" s="459"/>
      <c r="AM191" s="459"/>
      <c r="AN191" s="459"/>
      <c r="AO191" s="459"/>
      <c r="AP191" s="459"/>
      <c r="AQ191" s="459"/>
      <c r="AR191" s="459"/>
      <c r="AS191" s="459"/>
      <c r="AT191" s="459"/>
      <c r="AU191" s="459"/>
      <c r="AV191" s="459"/>
      <c r="AW191" s="459"/>
      <c r="AX191" s="459"/>
      <c r="AY191" s="459"/>
      <c r="AZ191" s="459"/>
      <c r="BA191" s="459"/>
      <c r="BB191" s="459"/>
      <c r="BC191" s="459"/>
      <c r="BD191" s="459"/>
      <c r="BE191" s="459"/>
      <c r="BF191" s="459"/>
      <c r="BG191" s="459"/>
      <c r="BH191" s="459"/>
      <c r="BI191" s="459"/>
      <c r="BJ191" s="459"/>
      <c r="BK191" s="459"/>
      <c r="BL191" s="459"/>
      <c r="BM191" s="459"/>
      <c r="BN191" s="459"/>
      <c r="BO191" s="459"/>
      <c r="BP191" s="459"/>
      <c r="BQ191" s="459"/>
      <c r="BR191" s="459"/>
      <c r="BS191" s="459"/>
      <c r="BT191" s="459"/>
      <c r="BU191" s="459"/>
      <c r="BV191" s="459"/>
      <c r="BW191" s="459"/>
      <c r="BX191" s="459"/>
      <c r="BY191" s="459"/>
      <c r="BZ191" s="459"/>
      <c r="CA191" s="459"/>
      <c r="CB191" s="459"/>
      <c r="CC191" s="459"/>
    </row>
    <row r="192" spans="1:81" s="467" customFormat="1" x14ac:dyDescent="0.2">
      <c r="A192" s="472"/>
      <c r="C192" s="473"/>
      <c r="G192" s="474"/>
      <c r="H192" s="473"/>
      <c r="P192" s="459"/>
      <c r="Q192" s="459"/>
      <c r="R192" s="459"/>
      <c r="S192" s="459"/>
      <c r="T192" s="459"/>
      <c r="U192" s="459"/>
      <c r="V192" s="459"/>
      <c r="W192" s="459"/>
      <c r="X192" s="459"/>
      <c r="Y192" s="459"/>
      <c r="Z192" s="459"/>
      <c r="AA192" s="459"/>
      <c r="AB192" s="459"/>
      <c r="AC192" s="459"/>
      <c r="AD192" s="459"/>
      <c r="AE192" s="459"/>
      <c r="AF192" s="459"/>
      <c r="AG192" s="459"/>
      <c r="AH192" s="459"/>
      <c r="AI192" s="459"/>
      <c r="AJ192" s="459"/>
      <c r="AK192" s="459"/>
      <c r="AL192" s="459"/>
      <c r="AM192" s="459"/>
      <c r="AN192" s="459"/>
      <c r="AO192" s="459"/>
      <c r="AP192" s="459"/>
      <c r="AQ192" s="459"/>
      <c r="AR192" s="459"/>
      <c r="AS192" s="459"/>
      <c r="AT192" s="459"/>
      <c r="AU192" s="459"/>
      <c r="AV192" s="459"/>
      <c r="AW192" s="459"/>
      <c r="AX192" s="459"/>
      <c r="AY192" s="459"/>
      <c r="AZ192" s="459"/>
      <c r="BA192" s="459"/>
      <c r="BB192" s="459"/>
      <c r="BC192" s="459"/>
      <c r="BD192" s="459"/>
      <c r="BE192" s="459"/>
      <c r="BF192" s="459"/>
      <c r="BG192" s="459"/>
      <c r="BH192" s="459"/>
      <c r="BI192" s="459"/>
      <c r="BJ192" s="459"/>
      <c r="BK192" s="459"/>
      <c r="BL192" s="459"/>
      <c r="BM192" s="459"/>
      <c r="BN192" s="459"/>
      <c r="BO192" s="459"/>
      <c r="BP192" s="459"/>
      <c r="BQ192" s="459"/>
      <c r="BR192" s="459"/>
      <c r="BS192" s="459"/>
      <c r="BT192" s="459"/>
      <c r="BU192" s="459"/>
      <c r="BV192" s="459"/>
      <c r="BW192" s="459"/>
      <c r="BX192" s="459"/>
      <c r="BY192" s="459"/>
      <c r="BZ192" s="459"/>
      <c r="CA192" s="459"/>
      <c r="CB192" s="459"/>
      <c r="CC192" s="459"/>
    </row>
    <row r="193" spans="1:81" s="467" customFormat="1" x14ac:dyDescent="0.2">
      <c r="A193" s="472"/>
      <c r="C193" s="473"/>
      <c r="G193" s="474"/>
      <c r="H193" s="473"/>
      <c r="P193" s="459"/>
      <c r="Q193" s="459"/>
      <c r="R193" s="459"/>
      <c r="S193" s="459"/>
      <c r="T193" s="459"/>
      <c r="U193" s="459"/>
      <c r="V193" s="459"/>
      <c r="W193" s="459"/>
      <c r="X193" s="459"/>
      <c r="Y193" s="459"/>
      <c r="Z193" s="459"/>
      <c r="AA193" s="459"/>
      <c r="AB193" s="459"/>
      <c r="AC193" s="459"/>
      <c r="AD193" s="459"/>
      <c r="AE193" s="459"/>
      <c r="AF193" s="459"/>
      <c r="AG193" s="459"/>
      <c r="AH193" s="459"/>
      <c r="AI193" s="459"/>
      <c r="AJ193" s="459"/>
      <c r="AK193" s="459"/>
      <c r="AL193" s="459"/>
      <c r="AM193" s="459"/>
      <c r="AN193" s="459"/>
      <c r="AO193" s="459"/>
      <c r="AP193" s="459"/>
      <c r="AQ193" s="459"/>
      <c r="AR193" s="459"/>
      <c r="AS193" s="459"/>
      <c r="AT193" s="459"/>
      <c r="AU193" s="459"/>
      <c r="AV193" s="459"/>
      <c r="AW193" s="459"/>
      <c r="AX193" s="459"/>
      <c r="AY193" s="459"/>
      <c r="AZ193" s="459"/>
      <c r="BA193" s="459"/>
      <c r="BB193" s="459"/>
      <c r="BC193" s="459"/>
      <c r="BD193" s="459"/>
      <c r="BE193" s="459"/>
      <c r="BF193" s="459"/>
      <c r="BG193" s="459"/>
      <c r="BH193" s="459"/>
      <c r="BI193" s="459"/>
      <c r="BJ193" s="459"/>
      <c r="BK193" s="459"/>
      <c r="BL193" s="459"/>
      <c r="BM193" s="459"/>
      <c r="BN193" s="459"/>
      <c r="BO193" s="459"/>
      <c r="BP193" s="459"/>
      <c r="BQ193" s="459"/>
      <c r="BR193" s="459"/>
      <c r="BS193" s="459"/>
      <c r="BT193" s="459"/>
      <c r="BU193" s="459"/>
      <c r="BV193" s="459"/>
      <c r="BW193" s="459"/>
      <c r="BX193" s="459"/>
      <c r="BY193" s="459"/>
      <c r="BZ193" s="459"/>
      <c r="CA193" s="459"/>
      <c r="CB193" s="459"/>
      <c r="CC193" s="459"/>
    </row>
    <row r="194" spans="1:81" s="467" customFormat="1" x14ac:dyDescent="0.2">
      <c r="A194" s="472"/>
      <c r="C194" s="473"/>
      <c r="G194" s="474"/>
      <c r="H194" s="473"/>
      <c r="P194" s="459"/>
      <c r="Q194" s="459"/>
      <c r="R194" s="459"/>
      <c r="S194" s="459"/>
      <c r="T194" s="459"/>
      <c r="U194" s="459"/>
      <c r="V194" s="459"/>
      <c r="W194" s="459"/>
      <c r="X194" s="459"/>
      <c r="Y194" s="459"/>
      <c r="Z194" s="459"/>
      <c r="AA194" s="459"/>
      <c r="AB194" s="459"/>
      <c r="AC194" s="459"/>
      <c r="AD194" s="459"/>
      <c r="AE194" s="459"/>
      <c r="AF194" s="459"/>
      <c r="AG194" s="459"/>
      <c r="AH194" s="459"/>
      <c r="AI194" s="459"/>
      <c r="AJ194" s="459"/>
      <c r="AK194" s="459"/>
      <c r="AL194" s="459"/>
      <c r="AM194" s="459"/>
      <c r="AN194" s="459"/>
      <c r="AO194" s="459"/>
      <c r="AP194" s="459"/>
      <c r="AQ194" s="459"/>
      <c r="AR194" s="459"/>
      <c r="AS194" s="459"/>
      <c r="AT194" s="459"/>
      <c r="AU194" s="459"/>
      <c r="AV194" s="459"/>
      <c r="AW194" s="459"/>
      <c r="AX194" s="459"/>
      <c r="AY194" s="459"/>
      <c r="AZ194" s="459"/>
      <c r="BA194" s="459"/>
      <c r="BB194" s="459"/>
      <c r="BC194" s="459"/>
      <c r="BD194" s="459"/>
      <c r="BE194" s="459"/>
      <c r="BF194" s="459"/>
      <c r="BG194" s="459"/>
      <c r="BH194" s="459"/>
      <c r="BI194" s="459"/>
      <c r="BJ194" s="459"/>
      <c r="BK194" s="459"/>
      <c r="BL194" s="459"/>
      <c r="BM194" s="459"/>
      <c r="BN194" s="459"/>
      <c r="BO194" s="459"/>
      <c r="BP194" s="459"/>
      <c r="BQ194" s="459"/>
      <c r="BR194" s="459"/>
      <c r="BS194" s="459"/>
      <c r="BT194" s="459"/>
      <c r="BU194" s="459"/>
      <c r="BV194" s="459"/>
      <c r="BW194" s="459"/>
      <c r="BX194" s="459"/>
      <c r="BY194" s="459"/>
      <c r="BZ194" s="459"/>
      <c r="CA194" s="459"/>
      <c r="CB194" s="459"/>
      <c r="CC194" s="459"/>
    </row>
    <row r="195" spans="1:81" s="467" customFormat="1" x14ac:dyDescent="0.2">
      <c r="A195" s="472"/>
      <c r="C195" s="473"/>
      <c r="G195" s="474"/>
      <c r="H195" s="473"/>
      <c r="P195" s="459"/>
      <c r="Q195" s="459"/>
      <c r="R195" s="459"/>
      <c r="S195" s="459"/>
      <c r="T195" s="459"/>
      <c r="U195" s="459"/>
      <c r="V195" s="459"/>
      <c r="W195" s="459"/>
      <c r="X195" s="459"/>
      <c r="Y195" s="459"/>
      <c r="Z195" s="459"/>
      <c r="AA195" s="459"/>
      <c r="AB195" s="459"/>
      <c r="AC195" s="459"/>
      <c r="AD195" s="459"/>
      <c r="AE195" s="459"/>
      <c r="AF195" s="459"/>
      <c r="AG195" s="459"/>
      <c r="AH195" s="459"/>
      <c r="AI195" s="459"/>
      <c r="AJ195" s="459"/>
      <c r="AK195" s="459"/>
      <c r="AL195" s="459"/>
      <c r="AM195" s="459"/>
      <c r="AN195" s="459"/>
      <c r="AO195" s="459"/>
      <c r="AP195" s="459"/>
      <c r="AQ195" s="459"/>
      <c r="AR195" s="459"/>
      <c r="AS195" s="459"/>
      <c r="AT195" s="459"/>
      <c r="AU195" s="459"/>
      <c r="AV195" s="459"/>
      <c r="AW195" s="459"/>
      <c r="AX195" s="459"/>
      <c r="AY195" s="459"/>
      <c r="AZ195" s="459"/>
      <c r="BA195" s="459"/>
      <c r="BB195" s="459"/>
      <c r="BC195" s="459"/>
      <c r="BD195" s="459"/>
      <c r="BE195" s="459"/>
      <c r="BF195" s="459"/>
      <c r="BG195" s="459"/>
      <c r="BH195" s="459"/>
      <c r="BI195" s="459"/>
      <c r="BJ195" s="459"/>
      <c r="BK195" s="459"/>
      <c r="BL195" s="459"/>
      <c r="BM195" s="459"/>
      <c r="BN195" s="459"/>
      <c r="BO195" s="459"/>
      <c r="BP195" s="459"/>
      <c r="BQ195" s="459"/>
      <c r="BR195" s="459"/>
      <c r="BS195" s="459"/>
      <c r="BT195" s="459"/>
      <c r="BU195" s="459"/>
      <c r="BV195" s="459"/>
      <c r="BW195" s="459"/>
      <c r="BX195" s="459"/>
      <c r="BY195" s="459"/>
      <c r="BZ195" s="459"/>
      <c r="CA195" s="459"/>
      <c r="CB195" s="459"/>
      <c r="CC195" s="459"/>
    </row>
    <row r="196" spans="1:81" s="467" customFormat="1" x14ac:dyDescent="0.2">
      <c r="A196" s="472"/>
      <c r="C196" s="473"/>
      <c r="G196" s="474"/>
      <c r="H196" s="473"/>
      <c r="P196" s="459"/>
      <c r="Q196" s="459"/>
      <c r="R196" s="459"/>
      <c r="S196" s="459"/>
      <c r="T196" s="459"/>
      <c r="U196" s="459"/>
      <c r="V196" s="459"/>
      <c r="W196" s="459"/>
      <c r="X196" s="459"/>
      <c r="Y196" s="459"/>
      <c r="Z196" s="459"/>
      <c r="AA196" s="459"/>
      <c r="AB196" s="459"/>
      <c r="AC196" s="459"/>
      <c r="AD196" s="459"/>
      <c r="AE196" s="459"/>
      <c r="AF196" s="459"/>
      <c r="AG196" s="459"/>
      <c r="AH196" s="459"/>
      <c r="AI196" s="459"/>
      <c r="AJ196" s="459"/>
      <c r="AK196" s="459"/>
      <c r="AL196" s="459"/>
      <c r="AM196" s="459"/>
      <c r="AN196" s="459"/>
      <c r="AO196" s="459"/>
      <c r="AP196" s="459"/>
      <c r="AQ196" s="459"/>
      <c r="AR196" s="459"/>
      <c r="AS196" s="459"/>
      <c r="AT196" s="459"/>
      <c r="AU196" s="459"/>
      <c r="AV196" s="459"/>
      <c r="AW196" s="459"/>
      <c r="AX196" s="459"/>
      <c r="AY196" s="459"/>
      <c r="AZ196" s="459"/>
      <c r="BA196" s="459"/>
      <c r="BB196" s="459"/>
      <c r="BC196" s="459"/>
      <c r="BD196" s="459"/>
      <c r="BE196" s="459"/>
      <c r="BF196" s="459"/>
      <c r="BG196" s="459"/>
      <c r="BH196" s="459"/>
      <c r="BI196" s="459"/>
      <c r="BJ196" s="459"/>
      <c r="BK196" s="459"/>
      <c r="BL196" s="459"/>
      <c r="BM196" s="459"/>
      <c r="BN196" s="459"/>
      <c r="BO196" s="459"/>
      <c r="BP196" s="459"/>
      <c r="BQ196" s="459"/>
      <c r="BR196" s="459"/>
      <c r="BS196" s="459"/>
      <c r="BT196" s="459"/>
      <c r="BU196" s="459"/>
      <c r="BV196" s="459"/>
      <c r="BW196" s="459"/>
      <c r="BX196" s="459"/>
      <c r="BY196" s="459"/>
      <c r="BZ196" s="459"/>
      <c r="CA196" s="459"/>
      <c r="CB196" s="459"/>
      <c r="CC196" s="459"/>
    </row>
    <row r="197" spans="1:81" s="467" customFormat="1" x14ac:dyDescent="0.2">
      <c r="A197" s="472"/>
      <c r="C197" s="473"/>
      <c r="G197" s="474"/>
      <c r="H197" s="473"/>
      <c r="P197" s="459"/>
      <c r="Q197" s="459"/>
      <c r="R197" s="459"/>
      <c r="S197" s="459"/>
      <c r="T197" s="459"/>
      <c r="U197" s="459"/>
      <c r="V197" s="459"/>
      <c r="W197" s="459"/>
      <c r="X197" s="459"/>
      <c r="Y197" s="459"/>
      <c r="Z197" s="459"/>
      <c r="AA197" s="459"/>
      <c r="AB197" s="459"/>
      <c r="AC197" s="459"/>
      <c r="AD197" s="459"/>
      <c r="AE197" s="459"/>
      <c r="AF197" s="459"/>
      <c r="AG197" s="459"/>
      <c r="AH197" s="459"/>
      <c r="AI197" s="459"/>
      <c r="AJ197" s="459"/>
      <c r="AK197" s="459"/>
      <c r="AL197" s="459"/>
      <c r="AM197" s="459"/>
      <c r="AN197" s="459"/>
      <c r="AO197" s="459"/>
      <c r="AP197" s="459"/>
      <c r="AQ197" s="459"/>
      <c r="AR197" s="459"/>
      <c r="AS197" s="459"/>
      <c r="AT197" s="459"/>
      <c r="AU197" s="459"/>
      <c r="AV197" s="459"/>
      <c r="AW197" s="459"/>
      <c r="AX197" s="459"/>
      <c r="AY197" s="459"/>
      <c r="AZ197" s="459"/>
      <c r="BA197" s="459"/>
      <c r="BB197" s="459"/>
      <c r="BC197" s="459"/>
      <c r="BD197" s="459"/>
      <c r="BE197" s="459"/>
      <c r="BF197" s="459"/>
      <c r="BG197" s="459"/>
      <c r="BH197" s="459"/>
      <c r="BI197" s="459"/>
      <c r="BJ197" s="459"/>
      <c r="BK197" s="459"/>
      <c r="BL197" s="459"/>
      <c r="BM197" s="459"/>
      <c r="BN197" s="459"/>
      <c r="BO197" s="459"/>
      <c r="BP197" s="459"/>
      <c r="BQ197" s="459"/>
      <c r="BR197" s="459"/>
      <c r="BS197" s="459"/>
      <c r="BT197" s="459"/>
      <c r="BU197" s="459"/>
      <c r="BV197" s="459"/>
      <c r="BW197" s="459"/>
      <c r="BX197" s="459"/>
      <c r="BY197" s="459"/>
      <c r="BZ197" s="459"/>
      <c r="CA197" s="459"/>
      <c r="CB197" s="459"/>
      <c r="CC197" s="459"/>
    </row>
    <row r="198" spans="1:81" s="467" customFormat="1" x14ac:dyDescent="0.2">
      <c r="A198" s="472"/>
      <c r="C198" s="473"/>
      <c r="G198" s="474"/>
      <c r="H198" s="473"/>
      <c r="P198" s="459"/>
      <c r="Q198" s="459"/>
      <c r="R198" s="459"/>
      <c r="S198" s="459"/>
      <c r="T198" s="459"/>
      <c r="U198" s="459"/>
      <c r="V198" s="459"/>
      <c r="W198" s="459"/>
      <c r="X198" s="459"/>
      <c r="Y198" s="459"/>
      <c r="Z198" s="459"/>
      <c r="AA198" s="459"/>
      <c r="AB198" s="459"/>
      <c r="AC198" s="459"/>
      <c r="AD198" s="459"/>
      <c r="AE198" s="459"/>
      <c r="AF198" s="459"/>
      <c r="AG198" s="459"/>
      <c r="AH198" s="459"/>
      <c r="AI198" s="459"/>
      <c r="AJ198" s="459"/>
      <c r="AK198" s="459"/>
      <c r="AL198" s="459"/>
      <c r="AM198" s="459"/>
      <c r="AN198" s="459"/>
      <c r="AO198" s="459"/>
      <c r="AP198" s="459"/>
      <c r="AQ198" s="459"/>
      <c r="AR198" s="459"/>
      <c r="AS198" s="459"/>
      <c r="AT198" s="459"/>
      <c r="AU198" s="459"/>
      <c r="AV198" s="459"/>
      <c r="AW198" s="459"/>
      <c r="AX198" s="459"/>
      <c r="AY198" s="459"/>
      <c r="AZ198" s="459"/>
      <c r="BA198" s="459"/>
      <c r="BB198" s="459"/>
      <c r="BC198" s="459"/>
      <c r="BD198" s="459"/>
      <c r="BE198" s="459"/>
      <c r="BF198" s="459"/>
      <c r="BG198" s="459"/>
      <c r="BH198" s="459"/>
      <c r="BI198" s="459"/>
      <c r="BJ198" s="459"/>
      <c r="BK198" s="459"/>
      <c r="BL198" s="459"/>
      <c r="BM198" s="459"/>
      <c r="BN198" s="459"/>
      <c r="BO198" s="459"/>
      <c r="BP198" s="459"/>
      <c r="BQ198" s="459"/>
      <c r="BR198" s="459"/>
      <c r="BS198" s="459"/>
      <c r="BT198" s="459"/>
      <c r="BU198" s="459"/>
      <c r="BV198" s="459"/>
      <c r="BW198" s="459"/>
      <c r="BX198" s="459"/>
      <c r="BY198" s="459"/>
      <c r="BZ198" s="459"/>
      <c r="CA198" s="459"/>
      <c r="CB198" s="459"/>
      <c r="CC198" s="459"/>
    </row>
    <row r="199" spans="1:81" s="467" customFormat="1" x14ac:dyDescent="0.2">
      <c r="A199" s="472"/>
      <c r="C199" s="473"/>
      <c r="G199" s="474"/>
      <c r="H199" s="473"/>
      <c r="P199" s="459"/>
      <c r="Q199" s="459"/>
      <c r="R199" s="459"/>
      <c r="S199" s="459"/>
      <c r="T199" s="459"/>
      <c r="U199" s="459"/>
      <c r="V199" s="459"/>
      <c r="W199" s="459"/>
      <c r="X199" s="459"/>
      <c r="Y199" s="459"/>
      <c r="Z199" s="459"/>
      <c r="AA199" s="459"/>
      <c r="AB199" s="459"/>
      <c r="AC199" s="459"/>
      <c r="AD199" s="459"/>
      <c r="AE199" s="459"/>
      <c r="AF199" s="459"/>
      <c r="AG199" s="459"/>
      <c r="AH199" s="459"/>
      <c r="AI199" s="459"/>
      <c r="AJ199" s="459"/>
      <c r="AK199" s="459"/>
      <c r="AL199" s="459"/>
      <c r="AM199" s="459"/>
      <c r="AN199" s="459"/>
      <c r="AO199" s="459"/>
      <c r="AP199" s="459"/>
      <c r="AQ199" s="459"/>
      <c r="AR199" s="459"/>
      <c r="AS199" s="459"/>
      <c r="AT199" s="459"/>
      <c r="AU199" s="459"/>
      <c r="AV199" s="459"/>
      <c r="AW199" s="459"/>
      <c r="AX199" s="459"/>
      <c r="AY199" s="459"/>
      <c r="AZ199" s="459"/>
      <c r="BA199" s="459"/>
      <c r="BB199" s="459"/>
      <c r="BC199" s="459"/>
      <c r="BD199" s="459"/>
      <c r="BE199" s="459"/>
      <c r="BF199" s="459"/>
      <c r="BG199" s="459"/>
      <c r="BH199" s="459"/>
      <c r="BI199" s="459"/>
      <c r="BJ199" s="459"/>
      <c r="BK199" s="459"/>
      <c r="BL199" s="459"/>
      <c r="BM199" s="459"/>
      <c r="BN199" s="459"/>
      <c r="BO199" s="459"/>
      <c r="BP199" s="459"/>
      <c r="BQ199" s="459"/>
      <c r="BR199" s="459"/>
      <c r="BS199" s="459"/>
      <c r="BT199" s="459"/>
      <c r="BU199" s="459"/>
      <c r="BV199" s="459"/>
      <c r="BW199" s="459"/>
      <c r="BX199" s="459"/>
      <c r="BY199" s="459"/>
      <c r="BZ199" s="459"/>
      <c r="CA199" s="459"/>
      <c r="CB199" s="459"/>
      <c r="CC199" s="459"/>
    </row>
    <row r="200" spans="1:81" s="467" customFormat="1" x14ac:dyDescent="0.2">
      <c r="A200" s="472"/>
      <c r="C200" s="473"/>
      <c r="G200" s="474"/>
      <c r="H200" s="473"/>
      <c r="P200" s="459"/>
      <c r="Q200" s="459"/>
      <c r="R200" s="459"/>
      <c r="S200" s="459"/>
      <c r="T200" s="459"/>
      <c r="U200" s="459"/>
      <c r="V200" s="459"/>
      <c r="W200" s="459"/>
      <c r="X200" s="459"/>
      <c r="Y200" s="459"/>
      <c r="Z200" s="459"/>
      <c r="AA200" s="459"/>
      <c r="AB200" s="459"/>
      <c r="AC200" s="459"/>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59"/>
      <c r="AY200" s="459"/>
      <c r="AZ200" s="459"/>
      <c r="BA200" s="459"/>
      <c r="BB200" s="459"/>
      <c r="BC200" s="459"/>
      <c r="BD200" s="459"/>
      <c r="BE200" s="459"/>
      <c r="BF200" s="459"/>
      <c r="BG200" s="459"/>
      <c r="BH200" s="459"/>
      <c r="BI200" s="459"/>
      <c r="BJ200" s="459"/>
      <c r="BK200" s="459"/>
      <c r="BL200" s="459"/>
      <c r="BM200" s="459"/>
      <c r="BN200" s="459"/>
      <c r="BO200" s="459"/>
      <c r="BP200" s="459"/>
      <c r="BQ200" s="459"/>
      <c r="BR200" s="459"/>
      <c r="BS200" s="459"/>
      <c r="BT200" s="459"/>
      <c r="BU200" s="459"/>
      <c r="BV200" s="459"/>
      <c r="BW200" s="459"/>
      <c r="BX200" s="459"/>
      <c r="BY200" s="459"/>
      <c r="BZ200" s="459"/>
      <c r="CA200" s="459"/>
      <c r="CB200" s="459"/>
      <c r="CC200" s="459"/>
    </row>
    <row r="201" spans="1:81" s="467" customFormat="1" x14ac:dyDescent="0.2">
      <c r="A201" s="472"/>
      <c r="C201" s="473"/>
      <c r="G201" s="474"/>
      <c r="H201" s="473"/>
      <c r="P201" s="459"/>
      <c r="Q201" s="459"/>
      <c r="R201" s="459"/>
      <c r="S201" s="459"/>
      <c r="T201" s="459"/>
      <c r="U201" s="459"/>
      <c r="V201" s="459"/>
      <c r="W201" s="459"/>
      <c r="X201" s="459"/>
      <c r="Y201" s="459"/>
      <c r="Z201" s="459"/>
      <c r="AA201" s="459"/>
      <c r="AB201" s="459"/>
      <c r="AC201" s="459"/>
      <c r="AD201" s="459"/>
      <c r="AE201" s="459"/>
      <c r="AF201" s="459"/>
      <c r="AG201" s="459"/>
      <c r="AH201" s="459"/>
      <c r="AI201" s="459"/>
      <c r="AJ201" s="459"/>
      <c r="AK201" s="459"/>
      <c r="AL201" s="459"/>
      <c r="AM201" s="459"/>
      <c r="AN201" s="459"/>
      <c r="AO201" s="459"/>
      <c r="AP201" s="459"/>
      <c r="AQ201" s="459"/>
      <c r="AR201" s="459"/>
      <c r="AS201" s="459"/>
      <c r="AT201" s="459"/>
      <c r="AU201" s="459"/>
      <c r="AV201" s="459"/>
      <c r="AW201" s="459"/>
      <c r="AX201" s="459"/>
      <c r="AY201" s="459"/>
      <c r="AZ201" s="459"/>
      <c r="BA201" s="459"/>
      <c r="BB201" s="459"/>
      <c r="BC201" s="459"/>
      <c r="BD201" s="459"/>
      <c r="BE201" s="459"/>
      <c r="BF201" s="459"/>
      <c r="BG201" s="459"/>
      <c r="BH201" s="459"/>
      <c r="BI201" s="459"/>
      <c r="BJ201" s="459"/>
      <c r="BK201" s="459"/>
      <c r="BL201" s="459"/>
      <c r="BM201" s="459"/>
      <c r="BN201" s="459"/>
      <c r="BO201" s="459"/>
      <c r="BP201" s="459"/>
      <c r="BQ201" s="459"/>
      <c r="BR201" s="459"/>
      <c r="BS201" s="459"/>
      <c r="BT201" s="459"/>
      <c r="BU201" s="459"/>
      <c r="BV201" s="459"/>
      <c r="BW201" s="459"/>
      <c r="BX201" s="459"/>
      <c r="BY201" s="459"/>
      <c r="BZ201" s="459"/>
      <c r="CA201" s="459"/>
      <c r="CB201" s="459"/>
      <c r="CC201" s="459"/>
    </row>
    <row r="202" spans="1:81" s="467" customFormat="1" x14ac:dyDescent="0.2">
      <c r="A202" s="472"/>
      <c r="C202" s="473"/>
      <c r="G202" s="474"/>
      <c r="H202" s="473"/>
      <c r="P202" s="459"/>
      <c r="Q202" s="459"/>
      <c r="R202" s="459"/>
      <c r="S202" s="459"/>
      <c r="T202" s="459"/>
      <c r="U202" s="459"/>
      <c r="V202" s="459"/>
      <c r="W202" s="459"/>
      <c r="X202" s="459"/>
      <c r="Y202" s="459"/>
      <c r="Z202" s="459"/>
      <c r="AA202" s="459"/>
      <c r="AB202" s="459"/>
      <c r="AC202" s="459"/>
      <c r="AD202" s="459"/>
      <c r="AE202" s="459"/>
      <c r="AF202" s="459"/>
      <c r="AG202" s="459"/>
      <c r="AH202" s="459"/>
      <c r="AI202" s="459"/>
      <c r="AJ202" s="459"/>
      <c r="AK202" s="459"/>
      <c r="AL202" s="459"/>
      <c r="AM202" s="459"/>
      <c r="AN202" s="459"/>
      <c r="AO202" s="459"/>
      <c r="AP202" s="459"/>
      <c r="AQ202" s="459"/>
      <c r="AR202" s="459"/>
      <c r="AS202" s="459"/>
      <c r="AT202" s="459"/>
      <c r="AU202" s="459"/>
      <c r="AV202" s="459"/>
      <c r="AW202" s="459"/>
      <c r="AX202" s="459"/>
      <c r="AY202" s="459"/>
      <c r="AZ202" s="459"/>
      <c r="BA202" s="459"/>
      <c r="BB202" s="459"/>
      <c r="BC202" s="459"/>
      <c r="BD202" s="459"/>
      <c r="BE202" s="459"/>
      <c r="BF202" s="459"/>
      <c r="BG202" s="459"/>
      <c r="BH202" s="459"/>
      <c r="BI202" s="459"/>
      <c r="BJ202" s="459"/>
      <c r="BK202" s="459"/>
      <c r="BL202" s="459"/>
      <c r="BM202" s="459"/>
      <c r="BN202" s="459"/>
      <c r="BO202" s="459"/>
      <c r="BP202" s="459"/>
      <c r="BQ202" s="459"/>
      <c r="BR202" s="459"/>
      <c r="BS202" s="459"/>
      <c r="BT202" s="459"/>
      <c r="BU202" s="459"/>
      <c r="BV202" s="459"/>
      <c r="BW202" s="459"/>
      <c r="BX202" s="459"/>
      <c r="BY202" s="459"/>
      <c r="BZ202" s="459"/>
      <c r="CA202" s="459"/>
      <c r="CB202" s="459"/>
      <c r="CC202" s="459"/>
    </row>
    <row r="203" spans="1:81" s="467" customFormat="1" x14ac:dyDescent="0.2">
      <c r="A203" s="472"/>
      <c r="C203" s="473"/>
      <c r="G203" s="474"/>
      <c r="H203" s="473"/>
      <c r="P203" s="459"/>
      <c r="Q203" s="459"/>
      <c r="R203" s="459"/>
      <c r="S203" s="459"/>
      <c r="T203" s="459"/>
      <c r="U203" s="459"/>
      <c r="V203" s="459"/>
      <c r="W203" s="459"/>
      <c r="X203" s="459"/>
      <c r="Y203" s="459"/>
      <c r="Z203" s="459"/>
      <c r="AA203" s="459"/>
      <c r="AB203" s="459"/>
      <c r="AC203" s="459"/>
      <c r="AD203" s="459"/>
      <c r="AE203" s="459"/>
      <c r="AF203" s="459"/>
      <c r="AG203" s="459"/>
      <c r="AH203" s="459"/>
      <c r="AI203" s="459"/>
      <c r="AJ203" s="459"/>
      <c r="AK203" s="459"/>
      <c r="AL203" s="459"/>
      <c r="AM203" s="459"/>
      <c r="AN203" s="459"/>
      <c r="AO203" s="459"/>
      <c r="AP203" s="459"/>
      <c r="AQ203" s="459"/>
      <c r="AR203" s="459"/>
      <c r="AS203" s="459"/>
      <c r="AT203" s="459"/>
      <c r="AU203" s="459"/>
      <c r="AV203" s="459"/>
      <c r="AW203" s="459"/>
      <c r="AX203" s="459"/>
      <c r="AY203" s="459"/>
      <c r="AZ203" s="459"/>
      <c r="BA203" s="459"/>
      <c r="BB203" s="459"/>
      <c r="BC203" s="459"/>
      <c r="BD203" s="459"/>
      <c r="BE203" s="459"/>
      <c r="BF203" s="459"/>
      <c r="BG203" s="459"/>
      <c r="BH203" s="459"/>
      <c r="BI203" s="459"/>
      <c r="BJ203" s="459"/>
      <c r="BK203" s="459"/>
      <c r="BL203" s="459"/>
      <c r="BM203" s="459"/>
      <c r="BN203" s="459"/>
      <c r="BO203" s="459"/>
      <c r="BP203" s="459"/>
      <c r="BQ203" s="459"/>
      <c r="BR203" s="459"/>
      <c r="BS203" s="459"/>
      <c r="BT203" s="459"/>
      <c r="BU203" s="459"/>
      <c r="BV203" s="459"/>
      <c r="BW203" s="459"/>
      <c r="BX203" s="459"/>
      <c r="BY203" s="459"/>
      <c r="BZ203" s="459"/>
      <c r="CA203" s="459"/>
      <c r="CB203" s="459"/>
      <c r="CC203" s="459"/>
    </row>
    <row r="204" spans="1:81" s="467" customFormat="1" x14ac:dyDescent="0.2">
      <c r="A204" s="472"/>
      <c r="C204" s="473"/>
      <c r="G204" s="474"/>
      <c r="H204" s="473"/>
      <c r="P204" s="459"/>
      <c r="Q204" s="459"/>
      <c r="R204" s="459"/>
      <c r="S204" s="459"/>
      <c r="T204" s="459"/>
      <c r="U204" s="459"/>
      <c r="V204" s="459"/>
      <c r="W204" s="459"/>
      <c r="X204" s="459"/>
      <c r="Y204" s="459"/>
      <c r="Z204" s="459"/>
      <c r="AA204" s="459"/>
      <c r="AB204" s="459"/>
      <c r="AC204" s="459"/>
      <c r="AD204" s="459"/>
      <c r="AE204" s="459"/>
      <c r="AF204" s="459"/>
      <c r="AG204" s="459"/>
      <c r="AH204" s="459"/>
      <c r="AI204" s="459"/>
      <c r="AJ204" s="459"/>
      <c r="AK204" s="459"/>
      <c r="AL204" s="459"/>
      <c r="AM204" s="459"/>
      <c r="AN204" s="459"/>
      <c r="AO204" s="459"/>
      <c r="AP204" s="459"/>
      <c r="AQ204" s="459"/>
      <c r="AR204" s="459"/>
      <c r="AS204" s="459"/>
      <c r="AT204" s="459"/>
      <c r="AU204" s="459"/>
      <c r="AV204" s="459"/>
      <c r="AW204" s="459"/>
      <c r="AX204" s="459"/>
      <c r="AY204" s="459"/>
      <c r="AZ204" s="459"/>
      <c r="BA204" s="459"/>
      <c r="BB204" s="459"/>
      <c r="BC204" s="459"/>
      <c r="BD204" s="459"/>
      <c r="BE204" s="459"/>
      <c r="BF204" s="459"/>
      <c r="BG204" s="459"/>
      <c r="BH204" s="459"/>
      <c r="BI204" s="459"/>
      <c r="BJ204" s="459"/>
      <c r="BK204" s="459"/>
      <c r="BL204" s="459"/>
      <c r="BM204" s="459"/>
      <c r="BN204" s="459"/>
      <c r="BO204" s="459"/>
      <c r="BP204" s="459"/>
      <c r="BQ204" s="459"/>
      <c r="BR204" s="459"/>
      <c r="BS204" s="459"/>
      <c r="BT204" s="459"/>
      <c r="BU204" s="459"/>
      <c r="BV204" s="459"/>
      <c r="BW204" s="459"/>
      <c r="BX204" s="459"/>
      <c r="BY204" s="459"/>
      <c r="BZ204" s="459"/>
      <c r="CA204" s="459"/>
      <c r="CB204" s="459"/>
      <c r="CC204" s="459"/>
    </row>
    <row r="205" spans="1:81" s="467" customFormat="1" x14ac:dyDescent="0.2">
      <c r="A205" s="472"/>
      <c r="C205" s="473"/>
      <c r="G205" s="474"/>
      <c r="H205" s="473"/>
      <c r="P205" s="459"/>
      <c r="Q205" s="459"/>
      <c r="R205" s="459"/>
      <c r="S205" s="459"/>
      <c r="T205" s="459"/>
      <c r="U205" s="459"/>
      <c r="V205" s="459"/>
      <c r="W205" s="459"/>
      <c r="X205" s="459"/>
      <c r="Y205" s="459"/>
      <c r="Z205" s="459"/>
      <c r="AA205" s="459"/>
      <c r="AB205" s="459"/>
      <c r="AC205" s="459"/>
      <c r="AD205" s="459"/>
      <c r="AE205" s="459"/>
      <c r="AF205" s="459"/>
      <c r="AG205" s="459"/>
      <c r="AH205" s="459"/>
      <c r="AI205" s="459"/>
      <c r="AJ205" s="459"/>
      <c r="AK205" s="459"/>
      <c r="AL205" s="459"/>
      <c r="AM205" s="459"/>
      <c r="AN205" s="459"/>
      <c r="AO205" s="459"/>
      <c r="AP205" s="459"/>
      <c r="AQ205" s="459"/>
      <c r="AR205" s="459"/>
      <c r="AS205" s="459"/>
      <c r="AT205" s="459"/>
      <c r="AU205" s="459"/>
      <c r="AV205" s="459"/>
      <c r="AW205" s="459"/>
      <c r="AX205" s="459"/>
      <c r="AY205" s="459"/>
      <c r="AZ205" s="459"/>
      <c r="BA205" s="459"/>
      <c r="BB205" s="459"/>
      <c r="BC205" s="459"/>
      <c r="BD205" s="459"/>
      <c r="BE205" s="459"/>
      <c r="BF205" s="459"/>
      <c r="BG205" s="459"/>
      <c r="BH205" s="459"/>
      <c r="BI205" s="459"/>
      <c r="BJ205" s="459"/>
      <c r="BK205" s="459"/>
      <c r="BL205" s="459"/>
      <c r="BM205" s="459"/>
      <c r="BN205" s="459"/>
      <c r="BO205" s="459"/>
      <c r="BP205" s="459"/>
      <c r="BQ205" s="459"/>
      <c r="BR205" s="459"/>
      <c r="BS205" s="459"/>
      <c r="BT205" s="459"/>
      <c r="BU205" s="459"/>
      <c r="BV205" s="459"/>
      <c r="BW205" s="459"/>
      <c r="BX205" s="459"/>
      <c r="BY205" s="459"/>
      <c r="BZ205" s="459"/>
      <c r="CA205" s="459"/>
      <c r="CB205" s="459"/>
      <c r="CC205" s="459"/>
    </row>
    <row r="206" spans="1:81" s="467" customFormat="1" x14ac:dyDescent="0.2">
      <c r="A206" s="472"/>
      <c r="C206" s="473"/>
      <c r="G206" s="474"/>
      <c r="H206" s="473"/>
      <c r="P206" s="459"/>
      <c r="Q206" s="459"/>
      <c r="R206" s="459"/>
      <c r="S206" s="459"/>
      <c r="T206" s="459"/>
      <c r="U206" s="459"/>
      <c r="V206" s="459"/>
      <c r="W206" s="459"/>
      <c r="X206" s="459"/>
      <c r="Y206" s="459"/>
      <c r="Z206" s="459"/>
      <c r="AA206" s="459"/>
      <c r="AB206" s="459"/>
      <c r="AC206" s="459"/>
      <c r="AD206" s="459"/>
      <c r="AE206" s="459"/>
      <c r="AF206" s="459"/>
      <c r="AG206" s="459"/>
      <c r="AH206" s="459"/>
      <c r="AI206" s="459"/>
      <c r="AJ206" s="459"/>
      <c r="AK206" s="459"/>
      <c r="AL206" s="459"/>
      <c r="AM206" s="459"/>
      <c r="AN206" s="459"/>
      <c r="AO206" s="459"/>
      <c r="AP206" s="459"/>
      <c r="AQ206" s="459"/>
      <c r="AR206" s="459"/>
      <c r="AS206" s="459"/>
      <c r="AT206" s="459"/>
      <c r="AU206" s="459"/>
      <c r="AV206" s="459"/>
      <c r="AW206" s="459"/>
      <c r="AX206" s="459"/>
      <c r="AY206" s="459"/>
      <c r="AZ206" s="459"/>
      <c r="BA206" s="459"/>
      <c r="BB206" s="459"/>
      <c r="BC206" s="459"/>
      <c r="BD206" s="459"/>
      <c r="BE206" s="459"/>
      <c r="BF206" s="459"/>
      <c r="BG206" s="459"/>
      <c r="BH206" s="459"/>
      <c r="BI206" s="459"/>
      <c r="BJ206" s="459"/>
      <c r="BK206" s="459"/>
      <c r="BL206" s="459"/>
      <c r="BM206" s="459"/>
      <c r="BN206" s="459"/>
      <c r="BO206" s="459"/>
      <c r="BP206" s="459"/>
      <c r="BQ206" s="459"/>
      <c r="BR206" s="459"/>
      <c r="BS206" s="459"/>
      <c r="BT206" s="459"/>
      <c r="BU206" s="459"/>
      <c r="BV206" s="459"/>
      <c r="BW206" s="459"/>
      <c r="BX206" s="459"/>
      <c r="BY206" s="459"/>
      <c r="BZ206" s="459"/>
      <c r="CA206" s="459"/>
      <c r="CB206" s="459"/>
      <c r="CC206" s="459"/>
    </row>
    <row r="207" spans="1:81" s="467" customFormat="1" x14ac:dyDescent="0.2">
      <c r="A207" s="472"/>
      <c r="C207" s="473"/>
      <c r="G207" s="474"/>
      <c r="H207" s="473"/>
      <c r="P207" s="459"/>
      <c r="Q207" s="459"/>
      <c r="R207" s="459"/>
      <c r="S207" s="459"/>
      <c r="T207" s="459"/>
      <c r="U207" s="459"/>
      <c r="V207" s="459"/>
      <c r="W207" s="459"/>
      <c r="X207" s="459"/>
      <c r="Y207" s="459"/>
      <c r="Z207" s="459"/>
      <c r="AA207" s="459"/>
      <c r="AB207" s="459"/>
      <c r="AC207" s="459"/>
      <c r="AD207" s="459"/>
      <c r="AE207" s="459"/>
      <c r="AF207" s="459"/>
      <c r="AG207" s="459"/>
      <c r="AH207" s="459"/>
      <c r="AI207" s="459"/>
      <c r="AJ207" s="459"/>
      <c r="AK207" s="459"/>
      <c r="AL207" s="459"/>
      <c r="AM207" s="459"/>
      <c r="AN207" s="459"/>
      <c r="AO207" s="459"/>
      <c r="AP207" s="459"/>
      <c r="AQ207" s="459"/>
      <c r="AR207" s="459"/>
      <c r="AS207" s="459"/>
      <c r="AT207" s="459"/>
      <c r="AU207" s="459"/>
      <c r="AV207" s="459"/>
      <c r="AW207" s="459"/>
      <c r="AX207" s="459"/>
      <c r="AY207" s="459"/>
      <c r="AZ207" s="459"/>
      <c r="BA207" s="459"/>
      <c r="BB207" s="459"/>
      <c r="BC207" s="459"/>
      <c r="BD207" s="459"/>
      <c r="BE207" s="459"/>
      <c r="BF207" s="459"/>
      <c r="BG207" s="459"/>
      <c r="BH207" s="459"/>
      <c r="BI207" s="459"/>
      <c r="BJ207" s="459"/>
      <c r="BK207" s="459"/>
      <c r="BL207" s="459"/>
      <c r="BM207" s="459"/>
      <c r="BN207" s="459"/>
      <c r="BO207" s="459"/>
      <c r="BP207" s="459"/>
      <c r="BQ207" s="459"/>
      <c r="BR207" s="459"/>
      <c r="BS207" s="459"/>
      <c r="BT207" s="459"/>
      <c r="BU207" s="459"/>
      <c r="BV207" s="459"/>
      <c r="BW207" s="459"/>
      <c r="BX207" s="459"/>
      <c r="BY207" s="459"/>
      <c r="BZ207" s="459"/>
      <c r="CA207" s="459"/>
      <c r="CB207" s="459"/>
      <c r="CC207" s="459"/>
    </row>
    <row r="208" spans="1:81" s="467" customFormat="1" x14ac:dyDescent="0.2">
      <c r="A208" s="472"/>
      <c r="C208" s="473"/>
      <c r="G208" s="474"/>
      <c r="H208" s="473"/>
      <c r="P208" s="459"/>
      <c r="Q208" s="459"/>
      <c r="R208" s="459"/>
      <c r="S208" s="459"/>
      <c r="T208" s="459"/>
      <c r="U208" s="459"/>
      <c r="V208" s="459"/>
      <c r="W208" s="459"/>
      <c r="X208" s="459"/>
      <c r="Y208" s="459"/>
      <c r="Z208" s="459"/>
      <c r="AA208" s="459"/>
      <c r="AB208" s="459"/>
      <c r="AC208" s="459"/>
      <c r="AD208" s="459"/>
      <c r="AE208" s="459"/>
      <c r="AF208" s="459"/>
      <c r="AG208" s="459"/>
      <c r="AH208" s="459"/>
      <c r="AI208" s="459"/>
      <c r="AJ208" s="459"/>
      <c r="AK208" s="459"/>
      <c r="AL208" s="459"/>
      <c r="AM208" s="459"/>
      <c r="AN208" s="459"/>
      <c r="AO208" s="459"/>
      <c r="AP208" s="459"/>
      <c r="AQ208" s="459"/>
      <c r="AR208" s="459"/>
      <c r="AS208" s="459"/>
      <c r="AT208" s="459"/>
      <c r="AU208" s="459"/>
      <c r="AV208" s="459"/>
      <c r="AW208" s="459"/>
      <c r="AX208" s="459"/>
      <c r="AY208" s="459"/>
      <c r="AZ208" s="459"/>
      <c r="BA208" s="459"/>
      <c r="BB208" s="459"/>
      <c r="BC208" s="459"/>
      <c r="BD208" s="459"/>
      <c r="BE208" s="459"/>
      <c r="BF208" s="459"/>
      <c r="BG208" s="459"/>
      <c r="BH208" s="459"/>
      <c r="BI208" s="459"/>
      <c r="BJ208" s="459"/>
      <c r="BK208" s="459"/>
      <c r="BL208" s="459"/>
      <c r="BM208" s="459"/>
      <c r="BN208" s="459"/>
      <c r="BO208" s="459"/>
      <c r="BP208" s="459"/>
      <c r="BQ208" s="459"/>
      <c r="BR208" s="459"/>
      <c r="BS208" s="459"/>
      <c r="BT208" s="459"/>
      <c r="BU208" s="459"/>
      <c r="BV208" s="459"/>
      <c r="BW208" s="459"/>
      <c r="BX208" s="459"/>
      <c r="BY208" s="459"/>
      <c r="BZ208" s="459"/>
      <c r="CA208" s="459"/>
      <c r="CB208" s="459"/>
      <c r="CC208" s="459"/>
    </row>
    <row r="209" spans="1:81" s="467" customFormat="1" x14ac:dyDescent="0.2">
      <c r="A209" s="472"/>
      <c r="C209" s="473"/>
      <c r="G209" s="474"/>
      <c r="H209" s="473"/>
      <c r="P209" s="459"/>
      <c r="Q209" s="459"/>
      <c r="R209" s="459"/>
      <c r="S209" s="459"/>
      <c r="T209" s="459"/>
      <c r="U209" s="459"/>
      <c r="V209" s="459"/>
      <c r="W209" s="459"/>
      <c r="X209" s="459"/>
      <c r="Y209" s="459"/>
      <c r="Z209" s="459"/>
      <c r="AA209" s="459"/>
      <c r="AB209" s="459"/>
      <c r="AC209" s="459"/>
      <c r="AD209" s="459"/>
      <c r="AE209" s="459"/>
      <c r="AF209" s="459"/>
      <c r="AG209" s="459"/>
      <c r="AH209" s="459"/>
      <c r="AI209" s="459"/>
      <c r="AJ209" s="459"/>
      <c r="AK209" s="459"/>
      <c r="AL209" s="459"/>
      <c r="AM209" s="459"/>
      <c r="AN209" s="459"/>
      <c r="AO209" s="459"/>
      <c r="AP209" s="459"/>
      <c r="AQ209" s="459"/>
      <c r="AR209" s="459"/>
      <c r="AS209" s="459"/>
      <c r="AT209" s="459"/>
      <c r="AU209" s="459"/>
      <c r="AV209" s="459"/>
      <c r="AW209" s="459"/>
      <c r="AX209" s="459"/>
      <c r="AY209" s="459"/>
      <c r="AZ209" s="459"/>
      <c r="BA209" s="459"/>
      <c r="BB209" s="459"/>
      <c r="BC209" s="459"/>
      <c r="BD209" s="459"/>
      <c r="BE209" s="459"/>
      <c r="BF209" s="459"/>
      <c r="BG209" s="459"/>
      <c r="BH209" s="459"/>
      <c r="BI209" s="459"/>
      <c r="BJ209" s="459"/>
      <c r="BK209" s="459"/>
      <c r="BL209" s="459"/>
      <c r="BM209" s="459"/>
      <c r="BN209" s="459"/>
      <c r="BO209" s="459"/>
      <c r="BP209" s="459"/>
      <c r="BQ209" s="459"/>
      <c r="BR209" s="459"/>
      <c r="BS209" s="459"/>
      <c r="BT209" s="459"/>
      <c r="BU209" s="459"/>
      <c r="BV209" s="459"/>
      <c r="BW209" s="459"/>
      <c r="BX209" s="459"/>
      <c r="BY209" s="459"/>
      <c r="BZ209" s="459"/>
      <c r="CA209" s="459"/>
      <c r="CB209" s="459"/>
      <c r="CC209" s="459"/>
    </row>
    <row r="210" spans="1:81" s="467" customFormat="1" x14ac:dyDescent="0.2">
      <c r="A210" s="472"/>
      <c r="C210" s="473"/>
      <c r="G210" s="474"/>
      <c r="H210" s="473"/>
      <c r="P210" s="459"/>
      <c r="Q210" s="459"/>
      <c r="R210" s="459"/>
      <c r="S210" s="459"/>
      <c r="T210" s="459"/>
      <c r="U210" s="459"/>
      <c r="V210" s="459"/>
      <c r="W210" s="459"/>
      <c r="X210" s="459"/>
      <c r="Y210" s="459"/>
      <c r="Z210" s="459"/>
      <c r="AA210" s="459"/>
      <c r="AB210" s="459"/>
      <c r="AC210" s="459"/>
      <c r="AD210" s="459"/>
      <c r="AE210" s="459"/>
      <c r="AF210" s="459"/>
      <c r="AG210" s="459"/>
      <c r="AH210" s="459"/>
      <c r="AI210" s="459"/>
      <c r="AJ210" s="459"/>
      <c r="AK210" s="459"/>
      <c r="AL210" s="459"/>
      <c r="AM210" s="459"/>
      <c r="AN210" s="459"/>
      <c r="AO210" s="459"/>
      <c r="AP210" s="459"/>
      <c r="AQ210" s="459"/>
      <c r="AR210" s="459"/>
      <c r="AS210" s="459"/>
      <c r="AT210" s="459"/>
      <c r="AU210" s="459"/>
      <c r="AV210" s="459"/>
      <c r="AW210" s="459"/>
      <c r="AX210" s="459"/>
      <c r="AY210" s="459"/>
      <c r="AZ210" s="459"/>
      <c r="BA210" s="459"/>
      <c r="BB210" s="459"/>
      <c r="BC210" s="459"/>
      <c r="BD210" s="459"/>
      <c r="BE210" s="459"/>
      <c r="BF210" s="459"/>
      <c r="BG210" s="459"/>
      <c r="BH210" s="459"/>
      <c r="BI210" s="459"/>
      <c r="BJ210" s="459"/>
      <c r="BK210" s="459"/>
      <c r="BL210" s="459"/>
      <c r="BM210" s="459"/>
      <c r="BN210" s="459"/>
      <c r="BO210" s="459"/>
      <c r="BP210" s="459"/>
      <c r="BQ210" s="459"/>
      <c r="BR210" s="459"/>
      <c r="BS210" s="459"/>
      <c r="BT210" s="459"/>
      <c r="BU210" s="459"/>
      <c r="BV210" s="459"/>
      <c r="BW210" s="459"/>
      <c r="BX210" s="459"/>
      <c r="BY210" s="459"/>
      <c r="BZ210" s="459"/>
      <c r="CA210" s="459"/>
      <c r="CB210" s="459"/>
      <c r="CC210" s="459"/>
    </row>
    <row r="211" spans="1:81" s="467" customFormat="1" x14ac:dyDescent="0.2">
      <c r="A211" s="472"/>
      <c r="C211" s="473"/>
      <c r="G211" s="474"/>
      <c r="H211" s="473"/>
      <c r="P211" s="459"/>
      <c r="Q211" s="459"/>
      <c r="R211" s="459"/>
      <c r="S211" s="459"/>
      <c r="T211" s="459"/>
      <c r="U211" s="459"/>
      <c r="V211" s="459"/>
      <c r="W211" s="459"/>
      <c r="X211" s="459"/>
      <c r="Y211" s="459"/>
      <c r="Z211" s="459"/>
      <c r="AA211" s="459"/>
      <c r="AB211" s="459"/>
      <c r="AC211" s="459"/>
      <c r="AD211" s="459"/>
      <c r="AE211" s="459"/>
      <c r="AF211" s="459"/>
      <c r="AG211" s="459"/>
      <c r="AH211" s="459"/>
      <c r="AI211" s="459"/>
      <c r="AJ211" s="459"/>
      <c r="AK211" s="459"/>
      <c r="AL211" s="459"/>
      <c r="AM211" s="459"/>
      <c r="AN211" s="459"/>
      <c r="AO211" s="459"/>
      <c r="AP211" s="459"/>
      <c r="AQ211" s="459"/>
      <c r="AR211" s="459"/>
      <c r="AS211" s="459"/>
      <c r="AT211" s="459"/>
      <c r="AU211" s="459"/>
      <c r="AV211" s="459"/>
      <c r="AW211" s="459"/>
      <c r="AX211" s="459"/>
      <c r="AY211" s="459"/>
      <c r="AZ211" s="459"/>
      <c r="BA211" s="459"/>
      <c r="BB211" s="459"/>
      <c r="BC211" s="459"/>
      <c r="BD211" s="459"/>
      <c r="BE211" s="459"/>
      <c r="BF211" s="459"/>
      <c r="BG211" s="459"/>
      <c r="BH211" s="459"/>
      <c r="BI211" s="459"/>
      <c r="BJ211" s="459"/>
      <c r="BK211" s="459"/>
      <c r="BL211" s="459"/>
      <c r="BM211" s="459"/>
      <c r="BN211" s="459"/>
      <c r="BO211" s="459"/>
      <c r="BP211" s="459"/>
      <c r="BQ211" s="459"/>
      <c r="BR211" s="459"/>
      <c r="BS211" s="459"/>
      <c r="BT211" s="459"/>
      <c r="BU211" s="459"/>
      <c r="BV211" s="459"/>
      <c r="BW211" s="459"/>
      <c r="BX211" s="459"/>
      <c r="BY211" s="459"/>
      <c r="BZ211" s="459"/>
      <c r="CA211" s="459"/>
      <c r="CB211" s="459"/>
      <c r="CC211" s="459"/>
    </row>
    <row r="212" spans="1:81" s="467" customFormat="1" x14ac:dyDescent="0.2">
      <c r="A212" s="472"/>
      <c r="C212" s="473"/>
      <c r="G212" s="474"/>
      <c r="H212" s="473"/>
      <c r="P212" s="459"/>
      <c r="Q212" s="459"/>
      <c r="R212" s="459"/>
      <c r="S212" s="459"/>
      <c r="T212" s="459"/>
      <c r="U212" s="459"/>
      <c r="V212" s="459"/>
      <c r="W212" s="459"/>
      <c r="X212" s="459"/>
      <c r="Y212" s="459"/>
      <c r="Z212" s="459"/>
      <c r="AA212" s="459"/>
      <c r="AB212" s="459"/>
      <c r="AC212" s="459"/>
      <c r="AD212" s="459"/>
      <c r="AE212" s="459"/>
      <c r="AF212" s="459"/>
      <c r="AG212" s="459"/>
      <c r="AH212" s="459"/>
      <c r="AI212" s="459"/>
      <c r="AJ212" s="459"/>
      <c r="AK212" s="459"/>
      <c r="AL212" s="459"/>
      <c r="AM212" s="459"/>
      <c r="AN212" s="459"/>
      <c r="AO212" s="459"/>
      <c r="AP212" s="459"/>
      <c r="AQ212" s="459"/>
      <c r="AR212" s="459"/>
      <c r="AS212" s="459"/>
      <c r="AT212" s="459"/>
      <c r="AU212" s="459"/>
      <c r="AV212" s="459"/>
      <c r="AW212" s="459"/>
      <c r="AX212" s="459"/>
      <c r="AY212" s="459"/>
      <c r="AZ212" s="459"/>
      <c r="BA212" s="459"/>
      <c r="BB212" s="459"/>
      <c r="BC212" s="459"/>
      <c r="BD212" s="459"/>
      <c r="BE212" s="459"/>
      <c r="BF212" s="459"/>
      <c r="BG212" s="459"/>
      <c r="BH212" s="459"/>
      <c r="BI212" s="459"/>
      <c r="BJ212" s="459"/>
      <c r="BK212" s="459"/>
      <c r="BL212" s="459"/>
      <c r="BM212" s="459"/>
      <c r="BN212" s="459"/>
      <c r="BO212" s="459"/>
      <c r="BP212" s="459"/>
      <c r="BQ212" s="459"/>
      <c r="BR212" s="459"/>
      <c r="BS212" s="459"/>
      <c r="BT212" s="459"/>
      <c r="BU212" s="459"/>
      <c r="BV212" s="459"/>
      <c r="BW212" s="459"/>
      <c r="BX212" s="459"/>
      <c r="BY212" s="459"/>
      <c r="BZ212" s="459"/>
      <c r="CA212" s="459"/>
      <c r="CB212" s="459"/>
      <c r="CC212" s="459"/>
    </row>
    <row r="213" spans="1:81" s="467" customFormat="1" x14ac:dyDescent="0.2">
      <c r="A213" s="472"/>
      <c r="C213" s="473"/>
      <c r="G213" s="474"/>
      <c r="H213" s="473"/>
      <c r="P213" s="459"/>
      <c r="Q213" s="459"/>
      <c r="R213" s="459"/>
      <c r="S213" s="459"/>
      <c r="T213" s="459"/>
      <c r="U213" s="459"/>
      <c r="V213" s="459"/>
      <c r="W213" s="459"/>
      <c r="X213" s="459"/>
      <c r="Y213" s="459"/>
      <c r="Z213" s="459"/>
      <c r="AA213" s="459"/>
      <c r="AB213" s="459"/>
      <c r="AC213" s="459"/>
      <c r="AD213" s="459"/>
      <c r="AE213" s="459"/>
      <c r="AF213" s="459"/>
      <c r="AG213" s="459"/>
      <c r="AH213" s="459"/>
      <c r="AI213" s="459"/>
      <c r="AJ213" s="459"/>
      <c r="AK213" s="459"/>
      <c r="AL213" s="459"/>
      <c r="AM213" s="459"/>
      <c r="AN213" s="459"/>
      <c r="AO213" s="459"/>
      <c r="AP213" s="459"/>
      <c r="AQ213" s="459"/>
      <c r="AR213" s="459"/>
      <c r="AS213" s="459"/>
      <c r="AT213" s="459"/>
      <c r="AU213" s="459"/>
      <c r="AV213" s="459"/>
      <c r="AW213" s="459"/>
      <c r="AX213" s="459"/>
      <c r="AY213" s="459"/>
      <c r="AZ213" s="459"/>
      <c r="BA213" s="459"/>
      <c r="BB213" s="459"/>
      <c r="BC213" s="459"/>
      <c r="BD213" s="459"/>
      <c r="BE213" s="459"/>
      <c r="BF213" s="459"/>
      <c r="BG213" s="459"/>
      <c r="BH213" s="459"/>
      <c r="BI213" s="459"/>
      <c r="BJ213" s="459"/>
      <c r="BK213" s="459"/>
      <c r="BL213" s="459"/>
      <c r="BM213" s="459"/>
      <c r="BN213" s="459"/>
      <c r="BO213" s="459"/>
      <c r="BP213" s="459"/>
      <c r="BQ213" s="459"/>
      <c r="BR213" s="459"/>
      <c r="BS213" s="459"/>
      <c r="BT213" s="459"/>
      <c r="BU213" s="459"/>
      <c r="BV213" s="459"/>
      <c r="BW213" s="459"/>
      <c r="BX213" s="459"/>
      <c r="BY213" s="459"/>
      <c r="BZ213" s="459"/>
      <c r="CA213" s="459"/>
      <c r="CB213" s="459"/>
      <c r="CC213" s="459"/>
    </row>
    <row r="214" spans="1:81" s="467" customFormat="1" x14ac:dyDescent="0.2">
      <c r="A214" s="472"/>
      <c r="C214" s="473"/>
      <c r="G214" s="474"/>
      <c r="H214" s="473"/>
      <c r="P214" s="459"/>
      <c r="Q214" s="459"/>
      <c r="R214" s="459"/>
      <c r="S214" s="459"/>
      <c r="T214" s="459"/>
      <c r="U214" s="459"/>
      <c r="V214" s="459"/>
      <c r="W214" s="459"/>
      <c r="X214" s="459"/>
      <c r="Y214" s="459"/>
      <c r="Z214" s="459"/>
      <c r="AA214" s="459"/>
      <c r="AB214" s="459"/>
      <c r="AC214" s="459"/>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59"/>
      <c r="AY214" s="459"/>
      <c r="AZ214" s="459"/>
      <c r="BA214" s="459"/>
      <c r="BB214" s="459"/>
      <c r="BC214" s="459"/>
      <c r="BD214" s="459"/>
      <c r="BE214" s="459"/>
      <c r="BF214" s="459"/>
      <c r="BG214" s="459"/>
      <c r="BH214" s="459"/>
      <c r="BI214" s="459"/>
      <c r="BJ214" s="459"/>
      <c r="BK214" s="459"/>
      <c r="BL214" s="459"/>
      <c r="BM214" s="459"/>
      <c r="BN214" s="459"/>
      <c r="BO214" s="459"/>
      <c r="BP214" s="459"/>
      <c r="BQ214" s="459"/>
      <c r="BR214" s="459"/>
      <c r="BS214" s="459"/>
      <c r="BT214" s="459"/>
      <c r="BU214" s="459"/>
      <c r="BV214" s="459"/>
      <c r="BW214" s="459"/>
      <c r="BX214" s="459"/>
      <c r="BY214" s="459"/>
      <c r="BZ214" s="459"/>
      <c r="CA214" s="459"/>
      <c r="CB214" s="459"/>
      <c r="CC214" s="459"/>
    </row>
    <row r="215" spans="1:81" s="467" customFormat="1" x14ac:dyDescent="0.2">
      <c r="A215" s="472"/>
      <c r="C215" s="473"/>
      <c r="G215" s="474"/>
      <c r="H215" s="473"/>
      <c r="P215" s="459"/>
      <c r="Q215" s="459"/>
      <c r="R215" s="459"/>
      <c r="S215" s="459"/>
      <c r="T215" s="459"/>
      <c r="U215" s="459"/>
      <c r="V215" s="459"/>
      <c r="W215" s="459"/>
      <c r="X215" s="459"/>
      <c r="Y215" s="459"/>
      <c r="Z215" s="459"/>
      <c r="AA215" s="459"/>
      <c r="AB215" s="459"/>
      <c r="AC215" s="459"/>
      <c r="AD215" s="459"/>
      <c r="AE215" s="459"/>
      <c r="AF215" s="459"/>
      <c r="AG215" s="459"/>
      <c r="AH215" s="459"/>
      <c r="AI215" s="459"/>
      <c r="AJ215" s="459"/>
      <c r="AK215" s="459"/>
      <c r="AL215" s="459"/>
      <c r="AM215" s="459"/>
      <c r="AN215" s="459"/>
      <c r="AO215" s="459"/>
      <c r="AP215" s="459"/>
      <c r="AQ215" s="459"/>
      <c r="AR215" s="459"/>
      <c r="AS215" s="459"/>
      <c r="AT215" s="459"/>
      <c r="AU215" s="459"/>
      <c r="AV215" s="459"/>
      <c r="AW215" s="459"/>
      <c r="AX215" s="459"/>
      <c r="AY215" s="459"/>
      <c r="AZ215" s="459"/>
      <c r="BA215" s="459"/>
      <c r="BB215" s="459"/>
      <c r="BC215" s="459"/>
      <c r="BD215" s="459"/>
      <c r="BE215" s="459"/>
      <c r="BF215" s="459"/>
      <c r="BG215" s="459"/>
      <c r="BH215" s="459"/>
      <c r="BI215" s="459"/>
      <c r="BJ215" s="459"/>
      <c r="BK215" s="459"/>
      <c r="BL215" s="459"/>
      <c r="BM215" s="459"/>
      <c r="BN215" s="459"/>
      <c r="BO215" s="459"/>
      <c r="BP215" s="459"/>
      <c r="BQ215" s="459"/>
      <c r="BR215" s="459"/>
      <c r="BS215" s="459"/>
      <c r="BT215" s="459"/>
      <c r="BU215" s="459"/>
      <c r="BV215" s="459"/>
      <c r="BW215" s="459"/>
      <c r="BX215" s="459"/>
      <c r="BY215" s="459"/>
      <c r="BZ215" s="459"/>
      <c r="CA215" s="459"/>
      <c r="CB215" s="459"/>
      <c r="CC215" s="459"/>
    </row>
    <row r="216" spans="1:81" s="467" customFormat="1" x14ac:dyDescent="0.2">
      <c r="A216" s="472"/>
      <c r="C216" s="473"/>
      <c r="G216" s="474"/>
      <c r="H216" s="473"/>
      <c r="P216" s="459"/>
      <c r="Q216" s="459"/>
      <c r="R216" s="459"/>
      <c r="S216" s="459"/>
      <c r="T216" s="459"/>
      <c r="U216" s="459"/>
      <c r="V216" s="459"/>
      <c r="W216" s="459"/>
      <c r="X216" s="459"/>
      <c r="Y216" s="459"/>
      <c r="Z216" s="459"/>
      <c r="AA216" s="459"/>
      <c r="AB216" s="459"/>
      <c r="AC216" s="459"/>
      <c r="AD216" s="459"/>
      <c r="AE216" s="459"/>
      <c r="AF216" s="459"/>
      <c r="AG216" s="459"/>
      <c r="AH216" s="459"/>
      <c r="AI216" s="459"/>
      <c r="AJ216" s="459"/>
      <c r="AK216" s="459"/>
      <c r="AL216" s="459"/>
      <c r="AM216" s="459"/>
      <c r="AN216" s="459"/>
      <c r="AO216" s="459"/>
      <c r="AP216" s="459"/>
      <c r="AQ216" s="459"/>
      <c r="AR216" s="459"/>
      <c r="AS216" s="459"/>
      <c r="AT216" s="459"/>
      <c r="AU216" s="459"/>
      <c r="AV216" s="459"/>
      <c r="AW216" s="459"/>
      <c r="AX216" s="459"/>
      <c r="AY216" s="459"/>
      <c r="AZ216" s="459"/>
      <c r="BA216" s="459"/>
      <c r="BB216" s="459"/>
      <c r="BC216" s="459"/>
      <c r="BD216" s="459"/>
      <c r="BE216" s="459"/>
      <c r="BF216" s="459"/>
      <c r="BG216" s="459"/>
      <c r="BH216" s="459"/>
      <c r="BI216" s="459"/>
      <c r="BJ216" s="459"/>
      <c r="BK216" s="459"/>
      <c r="BL216" s="459"/>
      <c r="BM216" s="459"/>
      <c r="BN216" s="459"/>
      <c r="BO216" s="459"/>
      <c r="BP216" s="459"/>
      <c r="BQ216" s="459"/>
      <c r="BR216" s="459"/>
      <c r="BS216" s="459"/>
      <c r="BT216" s="459"/>
      <c r="BU216" s="459"/>
      <c r="BV216" s="459"/>
      <c r="BW216" s="459"/>
      <c r="BX216" s="459"/>
      <c r="BY216" s="459"/>
      <c r="BZ216" s="459"/>
      <c r="CA216" s="459"/>
      <c r="CB216" s="459"/>
      <c r="CC216" s="459"/>
    </row>
    <row r="217" spans="1:81" s="467" customFormat="1" x14ac:dyDescent="0.2">
      <c r="A217" s="472"/>
      <c r="C217" s="473"/>
      <c r="G217" s="474"/>
      <c r="H217" s="473"/>
      <c r="P217" s="459"/>
      <c r="Q217" s="459"/>
      <c r="R217" s="459"/>
      <c r="S217" s="459"/>
      <c r="T217" s="459"/>
      <c r="U217" s="459"/>
      <c r="V217" s="459"/>
      <c r="W217" s="459"/>
      <c r="X217" s="459"/>
      <c r="Y217" s="459"/>
      <c r="Z217" s="459"/>
      <c r="AA217" s="459"/>
      <c r="AB217" s="459"/>
      <c r="AC217" s="459"/>
      <c r="AD217" s="459"/>
      <c r="AE217" s="459"/>
      <c r="AF217" s="459"/>
      <c r="AG217" s="459"/>
      <c r="AH217" s="459"/>
      <c r="AI217" s="459"/>
      <c r="AJ217" s="459"/>
      <c r="AK217" s="459"/>
      <c r="AL217" s="459"/>
      <c r="AM217" s="459"/>
      <c r="AN217" s="459"/>
      <c r="AO217" s="459"/>
      <c r="AP217" s="459"/>
      <c r="AQ217" s="459"/>
      <c r="AR217" s="459"/>
      <c r="AS217" s="459"/>
      <c r="AT217" s="459"/>
      <c r="AU217" s="459"/>
      <c r="AV217" s="459"/>
      <c r="AW217" s="459"/>
      <c r="AX217" s="459"/>
      <c r="AY217" s="459"/>
      <c r="AZ217" s="459"/>
      <c r="BA217" s="459"/>
      <c r="BB217" s="459"/>
      <c r="BC217" s="459"/>
      <c r="BD217" s="459"/>
      <c r="BE217" s="459"/>
      <c r="BF217" s="459"/>
      <c r="BG217" s="459"/>
      <c r="BH217" s="459"/>
      <c r="BI217" s="459"/>
      <c r="BJ217" s="459"/>
      <c r="BK217" s="459"/>
      <c r="BL217" s="459"/>
      <c r="BM217" s="459"/>
      <c r="BN217" s="459"/>
      <c r="BO217" s="459"/>
      <c r="BP217" s="459"/>
      <c r="BQ217" s="459"/>
      <c r="BR217" s="459"/>
      <c r="BS217" s="459"/>
      <c r="BT217" s="459"/>
      <c r="BU217" s="459"/>
      <c r="BV217" s="459"/>
      <c r="BW217" s="459"/>
      <c r="BX217" s="459"/>
      <c r="BY217" s="459"/>
      <c r="BZ217" s="459"/>
      <c r="CA217" s="459"/>
      <c r="CB217" s="459"/>
      <c r="CC217" s="459"/>
    </row>
    <row r="218" spans="1:81" s="467" customFormat="1" x14ac:dyDescent="0.2">
      <c r="A218" s="472"/>
      <c r="C218" s="473"/>
      <c r="G218" s="474"/>
      <c r="H218" s="473"/>
      <c r="P218" s="459"/>
      <c r="Q218" s="459"/>
      <c r="R218" s="459"/>
      <c r="S218" s="459"/>
      <c r="T218" s="459"/>
      <c r="U218" s="459"/>
      <c r="V218" s="459"/>
      <c r="W218" s="459"/>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59"/>
      <c r="AY218" s="459"/>
      <c r="AZ218" s="459"/>
      <c r="BA218" s="459"/>
      <c r="BB218" s="459"/>
      <c r="BC218" s="459"/>
      <c r="BD218" s="459"/>
      <c r="BE218" s="459"/>
      <c r="BF218" s="459"/>
      <c r="BG218" s="459"/>
      <c r="BH218" s="459"/>
      <c r="BI218" s="459"/>
      <c r="BJ218" s="459"/>
      <c r="BK218" s="459"/>
      <c r="BL218" s="459"/>
      <c r="BM218" s="459"/>
      <c r="BN218" s="459"/>
      <c r="BO218" s="459"/>
      <c r="BP218" s="459"/>
      <c r="BQ218" s="459"/>
      <c r="BR218" s="459"/>
      <c r="BS218" s="459"/>
      <c r="BT218" s="459"/>
      <c r="BU218" s="459"/>
      <c r="BV218" s="459"/>
      <c r="BW218" s="459"/>
      <c r="BX218" s="459"/>
      <c r="BY218" s="459"/>
      <c r="BZ218" s="459"/>
      <c r="CA218" s="459"/>
      <c r="CB218" s="459"/>
      <c r="CC218" s="459"/>
    </row>
    <row r="219" spans="1:81" s="467" customFormat="1" x14ac:dyDescent="0.2">
      <c r="A219" s="472"/>
      <c r="C219" s="473"/>
      <c r="G219" s="474"/>
      <c r="H219" s="473"/>
      <c r="P219" s="459"/>
      <c r="Q219" s="459"/>
      <c r="R219" s="459"/>
      <c r="S219" s="459"/>
      <c r="T219" s="459"/>
      <c r="U219" s="459"/>
      <c r="V219" s="459"/>
      <c r="W219" s="459"/>
      <c r="X219" s="459"/>
      <c r="Y219" s="459"/>
      <c r="Z219" s="459"/>
      <c r="AA219" s="459"/>
      <c r="AB219" s="459"/>
      <c r="AC219" s="459"/>
      <c r="AD219" s="459"/>
      <c r="AE219" s="459"/>
      <c r="AF219" s="459"/>
      <c r="AG219" s="459"/>
      <c r="AH219" s="459"/>
      <c r="AI219" s="459"/>
      <c r="AJ219" s="459"/>
      <c r="AK219" s="459"/>
      <c r="AL219" s="459"/>
      <c r="AM219" s="459"/>
      <c r="AN219" s="459"/>
      <c r="AO219" s="459"/>
      <c r="AP219" s="459"/>
      <c r="AQ219" s="459"/>
      <c r="AR219" s="459"/>
      <c r="AS219" s="459"/>
      <c r="AT219" s="459"/>
      <c r="AU219" s="459"/>
      <c r="AV219" s="459"/>
      <c r="AW219" s="459"/>
      <c r="AX219" s="459"/>
      <c r="AY219" s="459"/>
      <c r="AZ219" s="459"/>
      <c r="BA219" s="459"/>
      <c r="BB219" s="459"/>
      <c r="BC219" s="459"/>
      <c r="BD219" s="459"/>
      <c r="BE219" s="459"/>
      <c r="BF219" s="459"/>
      <c r="BG219" s="459"/>
      <c r="BH219" s="459"/>
      <c r="BI219" s="459"/>
      <c r="BJ219" s="459"/>
      <c r="BK219" s="459"/>
      <c r="BL219" s="459"/>
      <c r="BM219" s="459"/>
      <c r="BN219" s="459"/>
      <c r="BO219" s="459"/>
      <c r="BP219" s="459"/>
      <c r="BQ219" s="459"/>
      <c r="BR219" s="459"/>
      <c r="BS219" s="459"/>
      <c r="BT219" s="459"/>
      <c r="BU219" s="459"/>
      <c r="BV219" s="459"/>
      <c r="BW219" s="459"/>
      <c r="BX219" s="459"/>
      <c r="BY219" s="459"/>
      <c r="BZ219" s="459"/>
      <c r="CA219" s="459"/>
      <c r="CB219" s="459"/>
      <c r="CC219" s="459"/>
    </row>
    <row r="220" spans="1:81" s="467" customFormat="1" x14ac:dyDescent="0.2">
      <c r="A220" s="472"/>
      <c r="C220" s="473"/>
      <c r="G220" s="474"/>
      <c r="H220" s="473"/>
      <c r="P220" s="459"/>
      <c r="Q220" s="459"/>
      <c r="R220" s="459"/>
      <c r="S220" s="459"/>
      <c r="T220" s="459"/>
      <c r="U220" s="459"/>
      <c r="V220" s="459"/>
      <c r="W220" s="459"/>
      <c r="X220" s="459"/>
      <c r="Y220" s="459"/>
      <c r="Z220" s="459"/>
      <c r="AA220" s="459"/>
      <c r="AB220" s="459"/>
      <c r="AC220" s="459"/>
      <c r="AD220" s="459"/>
      <c r="AE220" s="459"/>
      <c r="AF220" s="459"/>
      <c r="AG220" s="459"/>
      <c r="AH220" s="459"/>
      <c r="AI220" s="459"/>
      <c r="AJ220" s="459"/>
      <c r="AK220" s="459"/>
      <c r="AL220" s="459"/>
      <c r="AM220" s="459"/>
      <c r="AN220" s="459"/>
      <c r="AO220" s="459"/>
      <c r="AP220" s="459"/>
      <c r="AQ220" s="459"/>
      <c r="AR220" s="459"/>
      <c r="AS220" s="459"/>
      <c r="AT220" s="459"/>
      <c r="AU220" s="459"/>
      <c r="AV220" s="459"/>
      <c r="AW220" s="459"/>
      <c r="AX220" s="459"/>
      <c r="AY220" s="459"/>
      <c r="AZ220" s="459"/>
      <c r="BA220" s="459"/>
      <c r="BB220" s="459"/>
      <c r="BC220" s="459"/>
      <c r="BD220" s="459"/>
      <c r="BE220" s="459"/>
      <c r="BF220" s="459"/>
      <c r="BG220" s="459"/>
      <c r="BH220" s="459"/>
      <c r="BI220" s="459"/>
      <c r="BJ220" s="459"/>
      <c r="BK220" s="459"/>
      <c r="BL220" s="459"/>
      <c r="BM220" s="459"/>
      <c r="BN220" s="459"/>
      <c r="BO220" s="459"/>
      <c r="BP220" s="459"/>
      <c r="BQ220" s="459"/>
      <c r="BR220" s="459"/>
      <c r="BS220" s="459"/>
      <c r="BT220" s="459"/>
      <c r="BU220" s="459"/>
      <c r="BV220" s="459"/>
      <c r="BW220" s="459"/>
      <c r="BX220" s="459"/>
      <c r="BY220" s="459"/>
      <c r="BZ220" s="459"/>
      <c r="CA220" s="459"/>
      <c r="CB220" s="459"/>
      <c r="CC220" s="459"/>
    </row>
    <row r="221" spans="1:81" s="467" customFormat="1" x14ac:dyDescent="0.2">
      <c r="A221" s="472"/>
      <c r="C221" s="473"/>
      <c r="G221" s="474"/>
      <c r="H221" s="473"/>
      <c r="P221" s="459"/>
      <c r="Q221" s="459"/>
      <c r="R221" s="459"/>
      <c r="S221" s="459"/>
      <c r="T221" s="459"/>
      <c r="U221" s="459"/>
      <c r="V221" s="459"/>
      <c r="W221" s="459"/>
      <c r="X221" s="459"/>
      <c r="Y221" s="459"/>
      <c r="Z221" s="459"/>
      <c r="AA221" s="459"/>
      <c r="AB221" s="459"/>
      <c r="AC221" s="459"/>
      <c r="AD221" s="459"/>
      <c r="AE221" s="459"/>
      <c r="AF221" s="459"/>
      <c r="AG221" s="459"/>
      <c r="AH221" s="459"/>
      <c r="AI221" s="459"/>
      <c r="AJ221" s="459"/>
      <c r="AK221" s="459"/>
      <c r="AL221" s="459"/>
      <c r="AM221" s="459"/>
      <c r="AN221" s="459"/>
      <c r="AO221" s="459"/>
      <c r="AP221" s="459"/>
      <c r="AQ221" s="459"/>
      <c r="AR221" s="459"/>
      <c r="AS221" s="459"/>
      <c r="AT221" s="459"/>
      <c r="AU221" s="459"/>
      <c r="AV221" s="459"/>
      <c r="AW221" s="459"/>
      <c r="AX221" s="459"/>
      <c r="AY221" s="459"/>
      <c r="AZ221" s="459"/>
      <c r="BA221" s="459"/>
      <c r="BB221" s="459"/>
      <c r="BC221" s="459"/>
      <c r="BD221" s="459"/>
      <c r="BE221" s="459"/>
      <c r="BF221" s="459"/>
      <c r="BG221" s="459"/>
      <c r="BH221" s="459"/>
      <c r="BI221" s="459"/>
      <c r="BJ221" s="459"/>
      <c r="BK221" s="459"/>
      <c r="BL221" s="459"/>
      <c r="BM221" s="459"/>
      <c r="BN221" s="459"/>
      <c r="BO221" s="459"/>
      <c r="BP221" s="459"/>
      <c r="BQ221" s="459"/>
      <c r="BR221" s="459"/>
      <c r="BS221" s="459"/>
      <c r="BT221" s="459"/>
      <c r="BU221" s="459"/>
      <c r="BV221" s="459"/>
      <c r="BW221" s="459"/>
      <c r="BX221" s="459"/>
      <c r="BY221" s="459"/>
      <c r="BZ221" s="459"/>
      <c r="CA221" s="459"/>
      <c r="CB221" s="459"/>
      <c r="CC221" s="459"/>
    </row>
    <row r="222" spans="1:81" s="467" customFormat="1" x14ac:dyDescent="0.2">
      <c r="A222" s="472"/>
      <c r="C222" s="473"/>
      <c r="G222" s="474"/>
      <c r="H222" s="473"/>
      <c r="P222" s="459"/>
      <c r="Q222" s="459"/>
      <c r="R222" s="459"/>
      <c r="S222" s="459"/>
      <c r="T222" s="459"/>
      <c r="U222" s="459"/>
      <c r="V222" s="459"/>
      <c r="W222" s="459"/>
      <c r="X222" s="459"/>
      <c r="Y222" s="459"/>
      <c r="Z222" s="459"/>
      <c r="AA222" s="459"/>
      <c r="AB222" s="459"/>
      <c r="AC222" s="459"/>
      <c r="AD222" s="459"/>
      <c r="AE222" s="459"/>
      <c r="AF222" s="459"/>
      <c r="AG222" s="459"/>
      <c r="AH222" s="459"/>
      <c r="AI222" s="459"/>
      <c r="AJ222" s="459"/>
      <c r="AK222" s="459"/>
      <c r="AL222" s="459"/>
      <c r="AM222" s="459"/>
      <c r="AN222" s="459"/>
      <c r="AO222" s="459"/>
      <c r="AP222" s="459"/>
      <c r="AQ222" s="459"/>
      <c r="AR222" s="459"/>
      <c r="AS222" s="459"/>
      <c r="AT222" s="459"/>
      <c r="AU222" s="459"/>
      <c r="AV222" s="459"/>
      <c r="AW222" s="459"/>
      <c r="AX222" s="459"/>
      <c r="AY222" s="459"/>
      <c r="AZ222" s="459"/>
      <c r="BA222" s="459"/>
      <c r="BB222" s="459"/>
      <c r="BC222" s="459"/>
      <c r="BD222" s="459"/>
      <c r="BE222" s="459"/>
      <c r="BF222" s="459"/>
      <c r="BG222" s="459"/>
      <c r="BH222" s="459"/>
      <c r="BI222" s="459"/>
      <c r="BJ222" s="459"/>
      <c r="BK222" s="459"/>
      <c r="BL222" s="459"/>
      <c r="BM222" s="459"/>
      <c r="BN222" s="459"/>
      <c r="BO222" s="459"/>
      <c r="BP222" s="459"/>
      <c r="BQ222" s="459"/>
      <c r="BR222" s="459"/>
      <c r="BS222" s="459"/>
      <c r="BT222" s="459"/>
      <c r="BU222" s="459"/>
      <c r="BV222" s="459"/>
      <c r="BW222" s="459"/>
      <c r="BX222" s="459"/>
      <c r="BY222" s="459"/>
      <c r="BZ222" s="459"/>
      <c r="CA222" s="459"/>
      <c r="CB222" s="459"/>
      <c r="CC222" s="459"/>
    </row>
    <row r="223" spans="1:81" s="467" customFormat="1" x14ac:dyDescent="0.2">
      <c r="A223" s="472"/>
      <c r="C223" s="473"/>
      <c r="G223" s="474"/>
      <c r="H223" s="473"/>
      <c r="P223" s="459"/>
      <c r="Q223" s="459"/>
      <c r="R223" s="459"/>
      <c r="S223" s="459"/>
      <c r="T223" s="459"/>
      <c r="U223" s="459"/>
      <c r="V223" s="459"/>
      <c r="W223" s="459"/>
      <c r="X223" s="459"/>
      <c r="Y223" s="459"/>
      <c r="Z223" s="459"/>
      <c r="AA223" s="459"/>
      <c r="AB223" s="459"/>
      <c r="AC223" s="459"/>
      <c r="AD223" s="459"/>
      <c r="AE223" s="459"/>
      <c r="AF223" s="459"/>
      <c r="AG223" s="459"/>
      <c r="AH223" s="459"/>
      <c r="AI223" s="459"/>
      <c r="AJ223" s="459"/>
      <c r="AK223" s="459"/>
      <c r="AL223" s="459"/>
      <c r="AM223" s="459"/>
      <c r="AN223" s="459"/>
      <c r="AO223" s="459"/>
      <c r="AP223" s="459"/>
      <c r="AQ223" s="459"/>
      <c r="AR223" s="459"/>
      <c r="AS223" s="459"/>
      <c r="AT223" s="459"/>
      <c r="AU223" s="459"/>
      <c r="AV223" s="459"/>
      <c r="AW223" s="459"/>
      <c r="AX223" s="459"/>
      <c r="AY223" s="459"/>
      <c r="AZ223" s="459"/>
      <c r="BA223" s="459"/>
      <c r="BB223" s="459"/>
      <c r="BC223" s="459"/>
      <c r="BD223" s="459"/>
      <c r="BE223" s="459"/>
      <c r="BF223" s="459"/>
      <c r="BG223" s="459"/>
      <c r="BH223" s="459"/>
      <c r="BI223" s="459"/>
      <c r="BJ223" s="459"/>
      <c r="BK223" s="459"/>
      <c r="BL223" s="459"/>
      <c r="BM223" s="459"/>
      <c r="BN223" s="459"/>
      <c r="BO223" s="459"/>
      <c r="BP223" s="459"/>
      <c r="BQ223" s="459"/>
      <c r="BR223" s="459"/>
      <c r="BS223" s="459"/>
      <c r="BT223" s="459"/>
      <c r="BU223" s="459"/>
      <c r="BV223" s="459"/>
      <c r="BW223" s="459"/>
      <c r="BX223" s="459"/>
      <c r="BY223" s="459"/>
      <c r="BZ223" s="459"/>
      <c r="CA223" s="459"/>
      <c r="CB223" s="459"/>
      <c r="CC223" s="459"/>
    </row>
    <row r="224" spans="1:81" s="467" customFormat="1" x14ac:dyDescent="0.2">
      <c r="A224" s="472"/>
      <c r="C224" s="473"/>
      <c r="G224" s="474"/>
      <c r="H224" s="473"/>
      <c r="P224" s="459"/>
      <c r="Q224" s="459"/>
      <c r="R224" s="459"/>
      <c r="S224" s="459"/>
      <c r="T224" s="459"/>
      <c r="U224" s="459"/>
      <c r="V224" s="459"/>
      <c r="W224" s="459"/>
      <c r="X224" s="459"/>
      <c r="Y224" s="459"/>
      <c r="Z224" s="459"/>
      <c r="AA224" s="459"/>
      <c r="AB224" s="459"/>
      <c r="AC224" s="459"/>
      <c r="AD224" s="459"/>
      <c r="AE224" s="459"/>
      <c r="AF224" s="459"/>
      <c r="AG224" s="459"/>
      <c r="AH224" s="459"/>
      <c r="AI224" s="459"/>
      <c r="AJ224" s="459"/>
      <c r="AK224" s="459"/>
      <c r="AL224" s="459"/>
      <c r="AM224" s="459"/>
      <c r="AN224" s="459"/>
      <c r="AO224" s="459"/>
      <c r="AP224" s="459"/>
      <c r="AQ224" s="459"/>
      <c r="AR224" s="459"/>
      <c r="AS224" s="459"/>
      <c r="AT224" s="459"/>
      <c r="AU224" s="459"/>
      <c r="AV224" s="459"/>
      <c r="AW224" s="459"/>
      <c r="AX224" s="459"/>
      <c r="AY224" s="459"/>
      <c r="AZ224" s="459"/>
      <c r="BA224" s="459"/>
      <c r="BB224" s="459"/>
      <c r="BC224" s="459"/>
      <c r="BD224" s="459"/>
      <c r="BE224" s="459"/>
      <c r="BF224" s="459"/>
      <c r="BG224" s="459"/>
      <c r="BH224" s="459"/>
      <c r="BI224" s="459"/>
      <c r="BJ224" s="459"/>
      <c r="BK224" s="459"/>
      <c r="BL224" s="459"/>
      <c r="BM224" s="459"/>
      <c r="BN224" s="459"/>
      <c r="BO224" s="459"/>
      <c r="BP224" s="459"/>
      <c r="BQ224" s="459"/>
      <c r="BR224" s="459"/>
      <c r="BS224" s="459"/>
      <c r="BT224" s="459"/>
      <c r="BU224" s="459"/>
      <c r="BV224" s="459"/>
      <c r="BW224" s="459"/>
      <c r="BX224" s="459"/>
      <c r="BY224" s="459"/>
      <c r="BZ224" s="459"/>
      <c r="CA224" s="459"/>
      <c r="CB224" s="459"/>
      <c r="CC224" s="459"/>
    </row>
    <row r="225" spans="1:81" s="467" customFormat="1" x14ac:dyDescent="0.2">
      <c r="A225" s="472"/>
      <c r="C225" s="473"/>
      <c r="G225" s="474"/>
      <c r="H225" s="473"/>
      <c r="P225" s="459"/>
      <c r="Q225" s="459"/>
      <c r="R225" s="459"/>
      <c r="S225" s="459"/>
      <c r="T225" s="459"/>
      <c r="U225" s="459"/>
      <c r="V225" s="459"/>
      <c r="W225" s="459"/>
      <c r="X225" s="459"/>
      <c r="Y225" s="459"/>
      <c r="Z225" s="459"/>
      <c r="AA225" s="459"/>
      <c r="AB225" s="459"/>
      <c r="AC225" s="459"/>
      <c r="AD225" s="459"/>
      <c r="AE225" s="459"/>
      <c r="AF225" s="459"/>
      <c r="AG225" s="459"/>
      <c r="AH225" s="459"/>
      <c r="AI225" s="459"/>
      <c r="AJ225" s="459"/>
      <c r="AK225" s="459"/>
      <c r="AL225" s="459"/>
      <c r="AM225" s="459"/>
      <c r="AN225" s="459"/>
      <c r="AO225" s="459"/>
      <c r="AP225" s="459"/>
      <c r="AQ225" s="459"/>
      <c r="AR225" s="459"/>
      <c r="AS225" s="459"/>
      <c r="AT225" s="459"/>
      <c r="AU225" s="459"/>
      <c r="AV225" s="459"/>
      <c r="AW225" s="459"/>
      <c r="AX225" s="459"/>
      <c r="AY225" s="459"/>
      <c r="AZ225" s="459"/>
      <c r="BA225" s="459"/>
      <c r="BB225" s="459"/>
      <c r="BC225" s="459"/>
      <c r="BD225" s="459"/>
      <c r="BE225" s="459"/>
      <c r="BF225" s="459"/>
      <c r="BG225" s="459"/>
      <c r="BH225" s="459"/>
      <c r="BI225" s="459"/>
      <c r="BJ225" s="459"/>
      <c r="BK225" s="459"/>
      <c r="BL225" s="459"/>
      <c r="BM225" s="459"/>
      <c r="BN225" s="459"/>
      <c r="BO225" s="459"/>
      <c r="BP225" s="459"/>
      <c r="BQ225" s="459"/>
      <c r="BR225" s="459"/>
      <c r="BS225" s="459"/>
      <c r="BT225" s="459"/>
      <c r="BU225" s="459"/>
      <c r="BV225" s="459"/>
      <c r="BW225" s="459"/>
      <c r="BX225" s="459"/>
      <c r="BY225" s="459"/>
      <c r="BZ225" s="459"/>
      <c r="CA225" s="459"/>
      <c r="CB225" s="459"/>
      <c r="CC225" s="459"/>
    </row>
    <row r="226" spans="1:81" s="467" customFormat="1" x14ac:dyDescent="0.2">
      <c r="A226" s="472"/>
      <c r="C226" s="473"/>
      <c r="G226" s="474"/>
      <c r="H226" s="473"/>
      <c r="P226" s="459"/>
      <c r="Q226" s="459"/>
      <c r="R226" s="459"/>
      <c r="S226" s="459"/>
      <c r="T226" s="459"/>
      <c r="U226" s="459"/>
      <c r="V226" s="459"/>
      <c r="W226" s="459"/>
      <c r="X226" s="459"/>
      <c r="Y226" s="459"/>
      <c r="Z226" s="459"/>
      <c r="AA226" s="459"/>
      <c r="AB226" s="459"/>
      <c r="AC226" s="459"/>
      <c r="AD226" s="459"/>
      <c r="AE226" s="459"/>
      <c r="AF226" s="459"/>
      <c r="AG226" s="459"/>
      <c r="AH226" s="459"/>
      <c r="AI226" s="459"/>
      <c r="AJ226" s="459"/>
      <c r="AK226" s="459"/>
      <c r="AL226" s="459"/>
      <c r="AM226" s="459"/>
      <c r="AN226" s="459"/>
      <c r="AO226" s="459"/>
      <c r="AP226" s="459"/>
      <c r="AQ226" s="459"/>
      <c r="AR226" s="459"/>
      <c r="AS226" s="459"/>
      <c r="AT226" s="459"/>
      <c r="AU226" s="459"/>
      <c r="AV226" s="459"/>
      <c r="AW226" s="459"/>
      <c r="AX226" s="459"/>
      <c r="AY226" s="459"/>
      <c r="AZ226" s="459"/>
      <c r="BA226" s="459"/>
      <c r="BB226" s="459"/>
      <c r="BC226" s="459"/>
      <c r="BD226" s="459"/>
      <c r="BE226" s="459"/>
      <c r="BF226" s="459"/>
      <c r="BG226" s="459"/>
      <c r="BH226" s="459"/>
      <c r="BI226" s="459"/>
      <c r="BJ226" s="459"/>
      <c r="BK226" s="459"/>
      <c r="BL226" s="459"/>
      <c r="BM226" s="459"/>
      <c r="BN226" s="459"/>
      <c r="BO226" s="459"/>
      <c r="BP226" s="459"/>
      <c r="BQ226" s="459"/>
      <c r="BR226" s="459"/>
      <c r="BS226" s="459"/>
      <c r="BT226" s="459"/>
      <c r="BU226" s="459"/>
      <c r="BV226" s="459"/>
      <c r="BW226" s="459"/>
      <c r="BX226" s="459"/>
      <c r="BY226" s="459"/>
      <c r="BZ226" s="459"/>
      <c r="CA226" s="459"/>
      <c r="CB226" s="459"/>
      <c r="CC226" s="459"/>
    </row>
    <row r="227" spans="1:81" s="467" customFormat="1" x14ac:dyDescent="0.2">
      <c r="A227" s="472"/>
      <c r="C227" s="473"/>
      <c r="G227" s="474"/>
      <c r="H227" s="473"/>
      <c r="P227" s="459"/>
      <c r="Q227" s="459"/>
      <c r="R227" s="459"/>
      <c r="S227" s="459"/>
      <c r="T227" s="459"/>
      <c r="U227" s="459"/>
      <c r="V227" s="459"/>
      <c r="W227" s="459"/>
      <c r="X227" s="459"/>
      <c r="Y227" s="459"/>
      <c r="Z227" s="459"/>
      <c r="AA227" s="459"/>
      <c r="AB227" s="459"/>
      <c r="AC227" s="459"/>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59"/>
      <c r="AY227" s="459"/>
      <c r="AZ227" s="459"/>
      <c r="BA227" s="459"/>
      <c r="BB227" s="459"/>
      <c r="BC227" s="459"/>
      <c r="BD227" s="459"/>
      <c r="BE227" s="459"/>
      <c r="BF227" s="459"/>
      <c r="BG227" s="459"/>
      <c r="BH227" s="459"/>
      <c r="BI227" s="459"/>
      <c r="BJ227" s="459"/>
      <c r="BK227" s="459"/>
      <c r="BL227" s="459"/>
      <c r="BM227" s="459"/>
      <c r="BN227" s="459"/>
      <c r="BO227" s="459"/>
      <c r="BP227" s="459"/>
      <c r="BQ227" s="459"/>
      <c r="BR227" s="459"/>
      <c r="BS227" s="459"/>
      <c r="BT227" s="459"/>
      <c r="BU227" s="459"/>
      <c r="BV227" s="459"/>
      <c r="BW227" s="459"/>
      <c r="BX227" s="459"/>
      <c r="BY227" s="459"/>
      <c r="BZ227" s="459"/>
      <c r="CA227" s="459"/>
      <c r="CB227" s="459"/>
      <c r="CC227" s="459"/>
    </row>
    <row r="228" spans="1:81" s="467" customFormat="1" x14ac:dyDescent="0.2">
      <c r="A228" s="472"/>
      <c r="C228" s="473"/>
      <c r="G228" s="474"/>
      <c r="H228" s="473"/>
      <c r="P228" s="459"/>
      <c r="Q228" s="459"/>
      <c r="R228" s="459"/>
      <c r="S228" s="459"/>
      <c r="T228" s="459"/>
      <c r="U228" s="459"/>
      <c r="V228" s="459"/>
      <c r="W228" s="459"/>
      <c r="X228" s="459"/>
      <c r="Y228" s="459"/>
      <c r="Z228" s="459"/>
      <c r="AA228" s="459"/>
      <c r="AB228" s="459"/>
      <c r="AC228" s="459"/>
      <c r="AD228" s="459"/>
      <c r="AE228" s="459"/>
      <c r="AF228" s="459"/>
      <c r="AG228" s="459"/>
      <c r="AH228" s="459"/>
      <c r="AI228" s="459"/>
      <c r="AJ228" s="459"/>
      <c r="AK228" s="459"/>
      <c r="AL228" s="459"/>
      <c r="AM228" s="459"/>
      <c r="AN228" s="459"/>
      <c r="AO228" s="459"/>
      <c r="AP228" s="459"/>
      <c r="AQ228" s="459"/>
      <c r="AR228" s="459"/>
      <c r="AS228" s="459"/>
      <c r="AT228" s="459"/>
      <c r="AU228" s="459"/>
      <c r="AV228" s="459"/>
      <c r="AW228" s="459"/>
      <c r="AX228" s="459"/>
      <c r="AY228" s="459"/>
      <c r="AZ228" s="459"/>
      <c r="BA228" s="459"/>
      <c r="BB228" s="459"/>
      <c r="BC228" s="459"/>
      <c r="BD228" s="459"/>
      <c r="BE228" s="459"/>
      <c r="BF228" s="459"/>
      <c r="BG228" s="459"/>
      <c r="BH228" s="459"/>
      <c r="BI228" s="459"/>
      <c r="BJ228" s="459"/>
      <c r="BK228" s="459"/>
      <c r="BL228" s="459"/>
      <c r="BM228" s="459"/>
      <c r="BN228" s="459"/>
      <c r="BO228" s="459"/>
      <c r="BP228" s="459"/>
      <c r="BQ228" s="459"/>
      <c r="BR228" s="459"/>
      <c r="BS228" s="459"/>
      <c r="BT228" s="459"/>
      <c r="BU228" s="459"/>
      <c r="BV228" s="459"/>
      <c r="BW228" s="459"/>
      <c r="BX228" s="459"/>
      <c r="BY228" s="459"/>
      <c r="BZ228" s="459"/>
      <c r="CA228" s="459"/>
      <c r="CB228" s="459"/>
      <c r="CC228" s="459"/>
    </row>
    <row r="229" spans="1:81" s="467" customFormat="1" x14ac:dyDescent="0.2">
      <c r="A229" s="472"/>
      <c r="C229" s="473"/>
      <c r="G229" s="474"/>
      <c r="H229" s="473"/>
      <c r="P229" s="459"/>
      <c r="Q229" s="459"/>
      <c r="R229" s="459"/>
      <c r="S229" s="459"/>
      <c r="T229" s="459"/>
      <c r="U229" s="459"/>
      <c r="V229" s="459"/>
      <c r="W229" s="459"/>
      <c r="X229" s="459"/>
      <c r="Y229" s="459"/>
      <c r="Z229" s="459"/>
      <c r="AA229" s="459"/>
      <c r="AB229" s="459"/>
      <c r="AC229" s="459"/>
      <c r="AD229" s="459"/>
      <c r="AE229" s="459"/>
      <c r="AF229" s="459"/>
      <c r="AG229" s="459"/>
      <c r="AH229" s="459"/>
      <c r="AI229" s="459"/>
      <c r="AJ229" s="459"/>
      <c r="AK229" s="459"/>
      <c r="AL229" s="459"/>
      <c r="AM229" s="459"/>
      <c r="AN229" s="459"/>
      <c r="AO229" s="459"/>
      <c r="AP229" s="459"/>
      <c r="AQ229" s="459"/>
      <c r="AR229" s="459"/>
      <c r="AS229" s="459"/>
      <c r="AT229" s="459"/>
      <c r="AU229" s="459"/>
      <c r="AV229" s="459"/>
      <c r="AW229" s="459"/>
      <c r="AX229" s="459"/>
      <c r="AY229" s="459"/>
      <c r="AZ229" s="459"/>
      <c r="BA229" s="459"/>
      <c r="BB229" s="459"/>
      <c r="BC229" s="459"/>
      <c r="BD229" s="459"/>
      <c r="BE229" s="459"/>
      <c r="BF229" s="459"/>
      <c r="BG229" s="459"/>
      <c r="BH229" s="459"/>
      <c r="BI229" s="459"/>
      <c r="BJ229" s="459"/>
      <c r="BK229" s="459"/>
      <c r="BL229" s="459"/>
      <c r="BM229" s="459"/>
      <c r="BN229" s="459"/>
      <c r="BO229" s="459"/>
      <c r="BP229" s="459"/>
      <c r="BQ229" s="459"/>
      <c r="BR229" s="459"/>
      <c r="BS229" s="459"/>
      <c r="BT229" s="459"/>
      <c r="BU229" s="459"/>
      <c r="BV229" s="459"/>
      <c r="BW229" s="459"/>
      <c r="BX229" s="459"/>
      <c r="BY229" s="459"/>
      <c r="BZ229" s="459"/>
      <c r="CA229" s="459"/>
      <c r="CB229" s="459"/>
      <c r="CC229" s="459"/>
    </row>
    <row r="230" spans="1:81" s="467" customFormat="1" x14ac:dyDescent="0.2">
      <c r="A230" s="472"/>
      <c r="C230" s="473"/>
      <c r="G230" s="474"/>
      <c r="H230" s="473"/>
      <c r="P230" s="459"/>
      <c r="Q230" s="459"/>
      <c r="R230" s="459"/>
      <c r="S230" s="459"/>
      <c r="T230" s="459"/>
      <c r="U230" s="459"/>
      <c r="V230" s="459"/>
      <c r="W230" s="459"/>
      <c r="X230" s="459"/>
      <c r="Y230" s="459"/>
      <c r="Z230" s="459"/>
      <c r="AA230" s="459"/>
      <c r="AB230" s="459"/>
      <c r="AC230" s="459"/>
      <c r="AD230" s="459"/>
      <c r="AE230" s="459"/>
      <c r="AF230" s="459"/>
      <c r="AG230" s="459"/>
      <c r="AH230" s="459"/>
      <c r="AI230" s="459"/>
      <c r="AJ230" s="459"/>
      <c r="AK230" s="459"/>
      <c r="AL230" s="459"/>
      <c r="AM230" s="459"/>
      <c r="AN230" s="459"/>
      <c r="AO230" s="459"/>
      <c r="AP230" s="459"/>
      <c r="AQ230" s="459"/>
      <c r="AR230" s="459"/>
      <c r="AS230" s="459"/>
      <c r="AT230" s="459"/>
      <c r="AU230" s="459"/>
      <c r="AV230" s="459"/>
      <c r="AW230" s="459"/>
      <c r="AX230" s="459"/>
      <c r="AY230" s="459"/>
      <c r="AZ230" s="459"/>
      <c r="BA230" s="459"/>
      <c r="BB230" s="459"/>
      <c r="BC230" s="459"/>
      <c r="BD230" s="459"/>
      <c r="BE230" s="459"/>
      <c r="BF230" s="459"/>
      <c r="BG230" s="459"/>
      <c r="BH230" s="459"/>
      <c r="BI230" s="459"/>
      <c r="BJ230" s="459"/>
      <c r="BK230" s="459"/>
      <c r="BL230" s="459"/>
      <c r="BM230" s="459"/>
      <c r="BN230" s="459"/>
      <c r="BO230" s="459"/>
      <c r="BP230" s="459"/>
      <c r="BQ230" s="459"/>
      <c r="BR230" s="459"/>
      <c r="BS230" s="459"/>
      <c r="BT230" s="459"/>
      <c r="BU230" s="459"/>
      <c r="BV230" s="459"/>
      <c r="BW230" s="459"/>
      <c r="BX230" s="459"/>
      <c r="BY230" s="459"/>
      <c r="BZ230" s="459"/>
      <c r="CA230" s="459"/>
      <c r="CB230" s="459"/>
      <c r="CC230" s="459"/>
    </row>
    <row r="231" spans="1:81" s="467" customFormat="1" x14ac:dyDescent="0.2">
      <c r="A231" s="472"/>
      <c r="C231" s="473"/>
      <c r="G231" s="474"/>
      <c r="H231" s="473"/>
      <c r="P231" s="459"/>
      <c r="Q231" s="459"/>
      <c r="R231" s="459"/>
      <c r="S231" s="459"/>
      <c r="T231" s="459"/>
      <c r="U231" s="459"/>
      <c r="V231" s="459"/>
      <c r="W231" s="459"/>
      <c r="X231" s="459"/>
      <c r="Y231" s="459"/>
      <c r="Z231" s="459"/>
      <c r="AA231" s="459"/>
      <c r="AB231" s="459"/>
      <c r="AC231" s="459"/>
      <c r="AD231" s="459"/>
      <c r="AE231" s="459"/>
      <c r="AF231" s="459"/>
      <c r="AG231" s="459"/>
      <c r="AH231" s="459"/>
      <c r="AI231" s="459"/>
      <c r="AJ231" s="459"/>
      <c r="AK231" s="459"/>
      <c r="AL231" s="459"/>
      <c r="AM231" s="459"/>
      <c r="AN231" s="459"/>
      <c r="AO231" s="459"/>
      <c r="AP231" s="459"/>
      <c r="AQ231" s="459"/>
      <c r="AR231" s="459"/>
      <c r="AS231" s="459"/>
      <c r="AT231" s="459"/>
      <c r="AU231" s="459"/>
      <c r="AV231" s="459"/>
      <c r="AW231" s="459"/>
      <c r="AX231" s="459"/>
      <c r="AY231" s="459"/>
      <c r="AZ231" s="459"/>
      <c r="BA231" s="459"/>
      <c r="BB231" s="459"/>
      <c r="BC231" s="459"/>
      <c r="BD231" s="459"/>
      <c r="BE231" s="459"/>
      <c r="BF231" s="459"/>
      <c r="BG231" s="459"/>
      <c r="BH231" s="459"/>
      <c r="BI231" s="459"/>
      <c r="BJ231" s="459"/>
      <c r="BK231" s="459"/>
      <c r="BL231" s="459"/>
      <c r="BM231" s="459"/>
      <c r="BN231" s="459"/>
      <c r="BO231" s="459"/>
      <c r="BP231" s="459"/>
      <c r="BQ231" s="459"/>
      <c r="BR231" s="459"/>
      <c r="BS231" s="459"/>
      <c r="BT231" s="459"/>
      <c r="BU231" s="459"/>
      <c r="BV231" s="459"/>
      <c r="BW231" s="459"/>
      <c r="BX231" s="459"/>
      <c r="BY231" s="459"/>
      <c r="BZ231" s="459"/>
      <c r="CA231" s="459"/>
      <c r="CB231" s="459"/>
      <c r="CC231" s="459"/>
    </row>
    <row r="232" spans="1:81" s="467" customFormat="1" x14ac:dyDescent="0.2">
      <c r="A232" s="472"/>
      <c r="C232" s="473"/>
      <c r="G232" s="474"/>
      <c r="H232" s="473"/>
      <c r="P232" s="459"/>
      <c r="Q232" s="459"/>
      <c r="R232" s="459"/>
      <c r="S232" s="459"/>
      <c r="T232" s="459"/>
      <c r="U232" s="459"/>
      <c r="V232" s="459"/>
      <c r="W232" s="459"/>
      <c r="X232" s="459"/>
      <c r="Y232" s="459"/>
      <c r="Z232" s="459"/>
      <c r="AA232" s="459"/>
      <c r="AB232" s="459"/>
      <c r="AC232" s="459"/>
      <c r="AD232" s="459"/>
      <c r="AE232" s="459"/>
      <c r="AF232" s="459"/>
      <c r="AG232" s="459"/>
      <c r="AH232" s="459"/>
      <c r="AI232" s="459"/>
      <c r="AJ232" s="459"/>
      <c r="AK232" s="459"/>
      <c r="AL232" s="459"/>
      <c r="AM232" s="459"/>
      <c r="AN232" s="459"/>
      <c r="AO232" s="459"/>
      <c r="AP232" s="459"/>
      <c r="AQ232" s="459"/>
      <c r="AR232" s="459"/>
      <c r="AS232" s="459"/>
      <c r="AT232" s="459"/>
      <c r="AU232" s="459"/>
      <c r="AV232" s="459"/>
      <c r="AW232" s="459"/>
      <c r="AX232" s="459"/>
      <c r="AY232" s="459"/>
      <c r="AZ232" s="459"/>
      <c r="BA232" s="459"/>
      <c r="BB232" s="459"/>
      <c r="BC232" s="459"/>
      <c r="BD232" s="459"/>
      <c r="BE232" s="459"/>
      <c r="BF232" s="459"/>
      <c r="BG232" s="459"/>
      <c r="BH232" s="459"/>
      <c r="BI232" s="459"/>
      <c r="BJ232" s="459"/>
      <c r="BK232" s="459"/>
      <c r="BL232" s="459"/>
      <c r="BM232" s="459"/>
      <c r="BN232" s="459"/>
      <c r="BO232" s="459"/>
      <c r="BP232" s="459"/>
      <c r="BQ232" s="459"/>
      <c r="BR232" s="459"/>
      <c r="BS232" s="459"/>
      <c r="BT232" s="459"/>
      <c r="BU232" s="459"/>
      <c r="BV232" s="459"/>
      <c r="BW232" s="459"/>
      <c r="BX232" s="459"/>
      <c r="BY232" s="459"/>
      <c r="BZ232" s="459"/>
      <c r="CA232" s="459"/>
      <c r="CB232" s="459"/>
      <c r="CC232" s="459"/>
    </row>
    <row r="233" spans="1:81" s="467" customFormat="1" x14ac:dyDescent="0.2">
      <c r="A233" s="472"/>
      <c r="C233" s="473"/>
      <c r="G233" s="474"/>
      <c r="H233" s="473"/>
      <c r="P233" s="459"/>
      <c r="Q233" s="459"/>
      <c r="R233" s="459"/>
      <c r="S233" s="459"/>
      <c r="T233" s="459"/>
      <c r="U233" s="459"/>
      <c r="V233" s="459"/>
      <c r="W233" s="459"/>
      <c r="X233" s="459"/>
      <c r="Y233" s="459"/>
      <c r="Z233" s="459"/>
      <c r="AA233" s="459"/>
      <c r="AB233" s="459"/>
      <c r="AC233" s="459"/>
      <c r="AD233" s="459"/>
      <c r="AE233" s="459"/>
      <c r="AF233" s="459"/>
      <c r="AG233" s="459"/>
      <c r="AH233" s="459"/>
      <c r="AI233" s="459"/>
      <c r="AJ233" s="459"/>
      <c r="AK233" s="459"/>
      <c r="AL233" s="459"/>
      <c r="AM233" s="459"/>
      <c r="AN233" s="459"/>
      <c r="AO233" s="459"/>
      <c r="AP233" s="459"/>
      <c r="AQ233" s="459"/>
      <c r="AR233" s="459"/>
      <c r="AS233" s="459"/>
      <c r="AT233" s="459"/>
      <c r="AU233" s="459"/>
      <c r="AV233" s="459"/>
      <c r="AW233" s="459"/>
      <c r="AX233" s="459"/>
      <c r="AY233" s="459"/>
      <c r="AZ233" s="459"/>
      <c r="BA233" s="459"/>
      <c r="BB233" s="459"/>
      <c r="BC233" s="459"/>
      <c r="BD233" s="459"/>
      <c r="BE233" s="459"/>
      <c r="BF233" s="459"/>
      <c r="BG233" s="459"/>
      <c r="BH233" s="459"/>
      <c r="BI233" s="459"/>
      <c r="BJ233" s="459"/>
      <c r="BK233" s="459"/>
      <c r="BL233" s="459"/>
      <c r="BM233" s="459"/>
      <c r="BN233" s="459"/>
      <c r="BO233" s="459"/>
      <c r="BP233" s="459"/>
      <c r="BQ233" s="459"/>
      <c r="BR233" s="459"/>
      <c r="BS233" s="459"/>
      <c r="BT233" s="459"/>
      <c r="BU233" s="459"/>
      <c r="BV233" s="459"/>
      <c r="BW233" s="459"/>
      <c r="BX233" s="459"/>
      <c r="BY233" s="459"/>
      <c r="BZ233" s="459"/>
      <c r="CA233" s="459"/>
      <c r="CB233" s="459"/>
      <c r="CC233" s="459"/>
    </row>
    <row r="234" spans="1:81" s="467" customFormat="1" x14ac:dyDescent="0.2">
      <c r="A234" s="472"/>
      <c r="C234" s="473"/>
      <c r="G234" s="474"/>
      <c r="H234" s="473"/>
      <c r="P234" s="459"/>
      <c r="Q234" s="459"/>
      <c r="R234" s="459"/>
      <c r="S234" s="459"/>
      <c r="T234" s="459"/>
      <c r="U234" s="459"/>
      <c r="V234" s="459"/>
      <c r="W234" s="459"/>
      <c r="X234" s="459"/>
      <c r="Y234" s="459"/>
      <c r="Z234" s="459"/>
      <c r="AA234" s="459"/>
      <c r="AB234" s="459"/>
      <c r="AC234" s="459"/>
      <c r="AD234" s="459"/>
      <c r="AE234" s="459"/>
      <c r="AF234" s="459"/>
      <c r="AG234" s="459"/>
      <c r="AH234" s="459"/>
      <c r="AI234" s="459"/>
      <c r="AJ234" s="459"/>
      <c r="AK234" s="459"/>
      <c r="AL234" s="459"/>
      <c r="AM234" s="459"/>
      <c r="AN234" s="459"/>
      <c r="AO234" s="459"/>
      <c r="AP234" s="459"/>
      <c r="AQ234" s="459"/>
      <c r="AR234" s="459"/>
      <c r="AS234" s="459"/>
      <c r="AT234" s="459"/>
      <c r="AU234" s="459"/>
      <c r="AV234" s="459"/>
      <c r="AW234" s="459"/>
      <c r="AX234" s="459"/>
      <c r="AY234" s="459"/>
      <c r="AZ234" s="459"/>
      <c r="BA234" s="459"/>
      <c r="BB234" s="459"/>
      <c r="BC234" s="459"/>
      <c r="BD234" s="459"/>
      <c r="BE234" s="459"/>
      <c r="BF234" s="459"/>
      <c r="BG234" s="459"/>
      <c r="BH234" s="459"/>
      <c r="BI234" s="459"/>
      <c r="BJ234" s="459"/>
      <c r="BK234" s="459"/>
      <c r="BL234" s="459"/>
      <c r="BM234" s="459"/>
      <c r="BN234" s="459"/>
      <c r="BO234" s="459"/>
      <c r="BP234" s="459"/>
      <c r="BQ234" s="459"/>
      <c r="BR234" s="459"/>
      <c r="BS234" s="459"/>
      <c r="BT234" s="459"/>
      <c r="BU234" s="459"/>
      <c r="BV234" s="459"/>
      <c r="BW234" s="459"/>
      <c r="BX234" s="459"/>
      <c r="BY234" s="459"/>
      <c r="BZ234" s="459"/>
      <c r="CA234" s="459"/>
      <c r="CB234" s="459"/>
      <c r="CC234" s="459"/>
    </row>
    <row r="235" spans="1:81" s="467" customFormat="1" x14ac:dyDescent="0.2">
      <c r="A235" s="472"/>
      <c r="C235" s="473"/>
      <c r="G235" s="474"/>
      <c r="H235" s="473"/>
      <c r="P235" s="459"/>
      <c r="Q235" s="459"/>
      <c r="R235" s="459"/>
      <c r="S235" s="459"/>
      <c r="T235" s="459"/>
      <c r="U235" s="459"/>
      <c r="V235" s="459"/>
      <c r="W235" s="459"/>
      <c r="X235" s="459"/>
      <c r="Y235" s="459"/>
      <c r="Z235" s="459"/>
      <c r="AA235" s="459"/>
      <c r="AB235" s="459"/>
      <c r="AC235" s="459"/>
      <c r="AD235" s="459"/>
      <c r="AE235" s="459"/>
      <c r="AF235" s="459"/>
      <c r="AG235" s="459"/>
      <c r="AH235" s="459"/>
      <c r="AI235" s="459"/>
      <c r="AJ235" s="459"/>
      <c r="AK235" s="459"/>
      <c r="AL235" s="459"/>
      <c r="AM235" s="459"/>
      <c r="AN235" s="459"/>
      <c r="AO235" s="459"/>
      <c r="AP235" s="459"/>
      <c r="AQ235" s="459"/>
      <c r="AR235" s="459"/>
      <c r="AS235" s="459"/>
      <c r="AT235" s="459"/>
      <c r="AU235" s="459"/>
      <c r="AV235" s="459"/>
      <c r="AW235" s="459"/>
      <c r="AX235" s="459"/>
      <c r="AY235" s="459"/>
      <c r="AZ235" s="459"/>
      <c r="BA235" s="459"/>
      <c r="BB235" s="459"/>
      <c r="BC235" s="459"/>
      <c r="BD235" s="459"/>
      <c r="BE235" s="459"/>
      <c r="BF235" s="459"/>
      <c r="BG235" s="459"/>
      <c r="BH235" s="459"/>
      <c r="BI235" s="459"/>
      <c r="BJ235" s="459"/>
      <c r="BK235" s="459"/>
      <c r="BL235" s="459"/>
      <c r="BM235" s="459"/>
      <c r="BN235" s="459"/>
      <c r="BO235" s="459"/>
      <c r="BP235" s="459"/>
      <c r="BQ235" s="459"/>
      <c r="BR235" s="459"/>
      <c r="BS235" s="459"/>
      <c r="BT235" s="459"/>
      <c r="BU235" s="459"/>
      <c r="BV235" s="459"/>
      <c r="BW235" s="459"/>
      <c r="BX235" s="459"/>
      <c r="BY235" s="459"/>
      <c r="BZ235" s="459"/>
      <c r="CA235" s="459"/>
      <c r="CB235" s="459"/>
      <c r="CC235" s="459"/>
    </row>
    <row r="236" spans="1:81" s="467" customFormat="1" x14ac:dyDescent="0.2">
      <c r="A236" s="472"/>
      <c r="C236" s="473"/>
      <c r="G236" s="474"/>
      <c r="H236" s="473"/>
      <c r="P236" s="459"/>
      <c r="Q236" s="459"/>
      <c r="R236" s="459"/>
      <c r="S236" s="459"/>
      <c r="T236" s="459"/>
      <c r="U236" s="459"/>
      <c r="V236" s="459"/>
      <c r="W236" s="459"/>
      <c r="X236" s="459"/>
      <c r="Y236" s="459"/>
      <c r="Z236" s="459"/>
      <c r="AA236" s="459"/>
      <c r="AB236" s="459"/>
      <c r="AC236" s="459"/>
      <c r="AD236" s="459"/>
      <c r="AE236" s="459"/>
      <c r="AF236" s="459"/>
      <c r="AG236" s="459"/>
      <c r="AH236" s="459"/>
      <c r="AI236" s="459"/>
      <c r="AJ236" s="459"/>
      <c r="AK236" s="459"/>
      <c r="AL236" s="459"/>
      <c r="AM236" s="459"/>
      <c r="AN236" s="459"/>
      <c r="AO236" s="459"/>
      <c r="AP236" s="459"/>
      <c r="AQ236" s="459"/>
      <c r="AR236" s="459"/>
      <c r="AS236" s="459"/>
      <c r="AT236" s="459"/>
      <c r="AU236" s="459"/>
      <c r="AV236" s="459"/>
      <c r="AW236" s="459"/>
      <c r="AX236" s="459"/>
      <c r="AY236" s="459"/>
      <c r="AZ236" s="459"/>
      <c r="BA236" s="459"/>
      <c r="BB236" s="459"/>
      <c r="BC236" s="459"/>
      <c r="BD236" s="459"/>
      <c r="BE236" s="459"/>
      <c r="BF236" s="459"/>
      <c r="BG236" s="459"/>
      <c r="BH236" s="459"/>
      <c r="BI236" s="459"/>
      <c r="BJ236" s="459"/>
      <c r="BK236" s="459"/>
      <c r="BL236" s="459"/>
      <c r="BM236" s="459"/>
      <c r="BN236" s="459"/>
      <c r="BO236" s="459"/>
      <c r="BP236" s="459"/>
      <c r="BQ236" s="459"/>
      <c r="BR236" s="459"/>
      <c r="BS236" s="459"/>
      <c r="BT236" s="459"/>
      <c r="BU236" s="459"/>
      <c r="BV236" s="459"/>
      <c r="BW236" s="459"/>
      <c r="BX236" s="459"/>
      <c r="BY236" s="459"/>
      <c r="BZ236" s="459"/>
      <c r="CA236" s="459"/>
      <c r="CB236" s="459"/>
      <c r="CC236" s="459"/>
    </row>
    <row r="237" spans="1:81" s="467" customFormat="1" x14ac:dyDescent="0.2">
      <c r="A237" s="472"/>
      <c r="C237" s="473"/>
      <c r="G237" s="474"/>
      <c r="H237" s="473"/>
      <c r="P237" s="459"/>
      <c r="Q237" s="459"/>
      <c r="R237" s="459"/>
      <c r="S237" s="459"/>
      <c r="T237" s="459"/>
      <c r="U237" s="459"/>
      <c r="V237" s="459"/>
      <c r="W237" s="459"/>
      <c r="X237" s="459"/>
      <c r="Y237" s="459"/>
      <c r="Z237" s="459"/>
      <c r="AA237" s="459"/>
      <c r="AB237" s="459"/>
      <c r="AC237" s="459"/>
      <c r="AD237" s="459"/>
      <c r="AE237" s="459"/>
      <c r="AF237" s="459"/>
      <c r="AG237" s="459"/>
      <c r="AH237" s="459"/>
      <c r="AI237" s="459"/>
      <c r="AJ237" s="459"/>
      <c r="AK237" s="459"/>
      <c r="AL237" s="459"/>
      <c r="AM237" s="459"/>
      <c r="AN237" s="459"/>
      <c r="AO237" s="459"/>
      <c r="AP237" s="459"/>
      <c r="AQ237" s="459"/>
      <c r="AR237" s="459"/>
      <c r="AS237" s="459"/>
      <c r="AT237" s="459"/>
      <c r="AU237" s="459"/>
      <c r="AV237" s="459"/>
      <c r="AW237" s="459"/>
      <c r="AX237" s="459"/>
      <c r="AY237" s="459"/>
      <c r="AZ237" s="459"/>
      <c r="BA237" s="459"/>
      <c r="BB237" s="459"/>
      <c r="BC237" s="459"/>
      <c r="BD237" s="459"/>
      <c r="BE237" s="459"/>
      <c r="BF237" s="459"/>
      <c r="BG237" s="459"/>
      <c r="BH237" s="459"/>
      <c r="BI237" s="459"/>
      <c r="BJ237" s="459"/>
      <c r="BK237" s="459"/>
      <c r="BL237" s="459"/>
      <c r="BM237" s="459"/>
      <c r="BN237" s="459"/>
      <c r="BO237" s="459"/>
      <c r="BP237" s="459"/>
      <c r="BQ237" s="459"/>
      <c r="BR237" s="459"/>
      <c r="BS237" s="459"/>
      <c r="BT237" s="459"/>
      <c r="BU237" s="459"/>
      <c r="BV237" s="459"/>
      <c r="BW237" s="459"/>
      <c r="BX237" s="459"/>
      <c r="BY237" s="459"/>
      <c r="BZ237" s="459"/>
      <c r="CA237" s="459"/>
      <c r="CB237" s="459"/>
      <c r="CC237" s="459"/>
    </row>
    <row r="238" spans="1:81" s="467" customFormat="1" x14ac:dyDescent="0.2">
      <c r="A238" s="472"/>
      <c r="C238" s="473"/>
      <c r="G238" s="474"/>
      <c r="H238" s="473"/>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459"/>
      <c r="AK238" s="459"/>
      <c r="AL238" s="459"/>
      <c r="AM238" s="459"/>
      <c r="AN238" s="459"/>
      <c r="AO238" s="459"/>
      <c r="AP238" s="459"/>
      <c r="AQ238" s="459"/>
      <c r="AR238" s="459"/>
      <c r="AS238" s="459"/>
      <c r="AT238" s="459"/>
      <c r="AU238" s="459"/>
      <c r="AV238" s="459"/>
      <c r="AW238" s="459"/>
      <c r="AX238" s="459"/>
      <c r="AY238" s="459"/>
      <c r="AZ238" s="459"/>
      <c r="BA238" s="459"/>
      <c r="BB238" s="459"/>
      <c r="BC238" s="459"/>
      <c r="BD238" s="459"/>
      <c r="BE238" s="459"/>
      <c r="BF238" s="459"/>
      <c r="BG238" s="459"/>
      <c r="BH238" s="459"/>
      <c r="BI238" s="459"/>
      <c r="BJ238" s="459"/>
      <c r="BK238" s="459"/>
      <c r="BL238" s="459"/>
      <c r="BM238" s="459"/>
      <c r="BN238" s="459"/>
      <c r="BO238" s="459"/>
      <c r="BP238" s="459"/>
      <c r="BQ238" s="459"/>
      <c r="BR238" s="459"/>
      <c r="BS238" s="459"/>
      <c r="BT238" s="459"/>
      <c r="BU238" s="459"/>
      <c r="BV238" s="459"/>
      <c r="BW238" s="459"/>
      <c r="BX238" s="459"/>
      <c r="BY238" s="459"/>
      <c r="BZ238" s="459"/>
      <c r="CA238" s="459"/>
      <c r="CB238" s="459"/>
      <c r="CC238" s="459"/>
    </row>
    <row r="239" spans="1:81" s="467" customFormat="1" x14ac:dyDescent="0.2">
      <c r="A239" s="472"/>
      <c r="C239" s="473"/>
      <c r="G239" s="474"/>
      <c r="H239" s="473"/>
      <c r="P239" s="459"/>
      <c r="Q239" s="459"/>
      <c r="R239" s="459"/>
      <c r="S239" s="459"/>
      <c r="T239" s="459"/>
      <c r="U239" s="459"/>
      <c r="V239" s="459"/>
      <c r="W239" s="459"/>
      <c r="X239" s="459"/>
      <c r="Y239" s="459"/>
      <c r="Z239" s="459"/>
      <c r="AA239" s="459"/>
      <c r="AB239" s="459"/>
      <c r="AC239" s="459"/>
      <c r="AD239" s="459"/>
      <c r="AE239" s="459"/>
      <c r="AF239" s="459"/>
      <c r="AG239" s="459"/>
      <c r="AH239" s="459"/>
      <c r="AI239" s="459"/>
      <c r="AJ239" s="459"/>
      <c r="AK239" s="459"/>
      <c r="AL239" s="459"/>
      <c r="AM239" s="459"/>
      <c r="AN239" s="459"/>
      <c r="AO239" s="459"/>
      <c r="AP239" s="459"/>
      <c r="AQ239" s="459"/>
      <c r="AR239" s="459"/>
      <c r="AS239" s="459"/>
      <c r="AT239" s="459"/>
      <c r="AU239" s="459"/>
      <c r="AV239" s="459"/>
      <c r="AW239" s="459"/>
      <c r="AX239" s="459"/>
      <c r="AY239" s="459"/>
      <c r="AZ239" s="459"/>
      <c r="BA239" s="459"/>
      <c r="BB239" s="459"/>
      <c r="BC239" s="459"/>
      <c r="BD239" s="459"/>
      <c r="BE239" s="459"/>
      <c r="BF239" s="459"/>
      <c r="BG239" s="459"/>
      <c r="BH239" s="459"/>
      <c r="BI239" s="459"/>
      <c r="BJ239" s="459"/>
      <c r="BK239" s="459"/>
      <c r="BL239" s="459"/>
      <c r="BM239" s="459"/>
      <c r="BN239" s="459"/>
      <c r="BO239" s="459"/>
      <c r="BP239" s="459"/>
      <c r="BQ239" s="459"/>
      <c r="BR239" s="459"/>
      <c r="BS239" s="459"/>
      <c r="BT239" s="459"/>
      <c r="BU239" s="459"/>
      <c r="BV239" s="459"/>
      <c r="BW239" s="459"/>
      <c r="BX239" s="459"/>
      <c r="BY239" s="459"/>
      <c r="BZ239" s="459"/>
      <c r="CA239" s="459"/>
      <c r="CB239" s="459"/>
      <c r="CC239" s="459"/>
    </row>
    <row r="240" spans="1:81" s="467" customFormat="1" x14ac:dyDescent="0.2">
      <c r="A240" s="472"/>
      <c r="C240" s="473"/>
      <c r="G240" s="474"/>
      <c r="H240" s="473"/>
      <c r="P240" s="459"/>
      <c r="Q240" s="459"/>
      <c r="R240" s="459"/>
      <c r="S240" s="459"/>
      <c r="T240" s="459"/>
      <c r="U240" s="459"/>
      <c r="V240" s="459"/>
      <c r="W240" s="459"/>
      <c r="X240" s="459"/>
      <c r="Y240" s="459"/>
      <c r="Z240" s="459"/>
      <c r="AA240" s="459"/>
      <c r="AB240" s="459"/>
      <c r="AC240" s="459"/>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59"/>
      <c r="AY240" s="459"/>
      <c r="AZ240" s="459"/>
      <c r="BA240" s="459"/>
      <c r="BB240" s="459"/>
      <c r="BC240" s="459"/>
      <c r="BD240" s="459"/>
      <c r="BE240" s="459"/>
      <c r="BF240" s="459"/>
      <c r="BG240" s="459"/>
      <c r="BH240" s="459"/>
      <c r="BI240" s="459"/>
      <c r="BJ240" s="459"/>
      <c r="BK240" s="459"/>
      <c r="BL240" s="459"/>
      <c r="BM240" s="459"/>
      <c r="BN240" s="459"/>
      <c r="BO240" s="459"/>
      <c r="BP240" s="459"/>
      <c r="BQ240" s="459"/>
      <c r="BR240" s="459"/>
      <c r="BS240" s="459"/>
      <c r="BT240" s="459"/>
      <c r="BU240" s="459"/>
      <c r="BV240" s="459"/>
      <c r="BW240" s="459"/>
      <c r="BX240" s="459"/>
      <c r="BY240" s="459"/>
      <c r="BZ240" s="459"/>
      <c r="CA240" s="459"/>
      <c r="CB240" s="459"/>
      <c r="CC240" s="459"/>
    </row>
    <row r="241" spans="1:81" s="467" customFormat="1" x14ac:dyDescent="0.2">
      <c r="A241" s="472"/>
      <c r="C241" s="473"/>
      <c r="G241" s="474"/>
      <c r="H241" s="473"/>
      <c r="P241" s="459"/>
      <c r="Q241" s="459"/>
      <c r="R241" s="459"/>
      <c r="S241" s="459"/>
      <c r="T241" s="459"/>
      <c r="U241" s="459"/>
      <c r="V241" s="459"/>
      <c r="W241" s="459"/>
      <c r="X241" s="459"/>
      <c r="Y241" s="459"/>
      <c r="Z241" s="459"/>
      <c r="AA241" s="459"/>
      <c r="AB241" s="459"/>
      <c r="AC241" s="459"/>
      <c r="AD241" s="459"/>
      <c r="AE241" s="459"/>
      <c r="AF241" s="459"/>
      <c r="AG241" s="459"/>
      <c r="AH241" s="459"/>
      <c r="AI241" s="459"/>
      <c r="AJ241" s="459"/>
      <c r="AK241" s="459"/>
      <c r="AL241" s="459"/>
      <c r="AM241" s="459"/>
      <c r="AN241" s="459"/>
      <c r="AO241" s="459"/>
      <c r="AP241" s="459"/>
      <c r="AQ241" s="459"/>
      <c r="AR241" s="459"/>
      <c r="AS241" s="459"/>
      <c r="AT241" s="459"/>
      <c r="AU241" s="459"/>
      <c r="AV241" s="459"/>
      <c r="AW241" s="459"/>
      <c r="AX241" s="459"/>
      <c r="AY241" s="459"/>
      <c r="AZ241" s="459"/>
      <c r="BA241" s="459"/>
      <c r="BB241" s="459"/>
      <c r="BC241" s="459"/>
      <c r="BD241" s="459"/>
      <c r="BE241" s="459"/>
      <c r="BF241" s="459"/>
      <c r="BG241" s="459"/>
      <c r="BH241" s="459"/>
      <c r="BI241" s="459"/>
      <c r="BJ241" s="459"/>
      <c r="BK241" s="459"/>
      <c r="BL241" s="459"/>
      <c r="BM241" s="459"/>
      <c r="BN241" s="459"/>
      <c r="BO241" s="459"/>
      <c r="BP241" s="459"/>
      <c r="BQ241" s="459"/>
      <c r="BR241" s="459"/>
      <c r="BS241" s="459"/>
      <c r="BT241" s="459"/>
      <c r="BU241" s="459"/>
      <c r="BV241" s="459"/>
      <c r="BW241" s="459"/>
      <c r="BX241" s="459"/>
      <c r="BY241" s="459"/>
      <c r="BZ241" s="459"/>
      <c r="CA241" s="459"/>
      <c r="CB241" s="459"/>
      <c r="CC241" s="459"/>
    </row>
    <row r="242" spans="1:81" s="467" customFormat="1" x14ac:dyDescent="0.2">
      <c r="A242" s="472"/>
      <c r="C242" s="473"/>
      <c r="G242" s="474"/>
      <c r="H242" s="473"/>
      <c r="P242" s="459"/>
      <c r="Q242" s="459"/>
      <c r="R242" s="459"/>
      <c r="S242" s="459"/>
      <c r="T242" s="459"/>
      <c r="U242" s="459"/>
      <c r="V242" s="459"/>
      <c r="W242" s="459"/>
      <c r="X242" s="459"/>
      <c r="Y242" s="459"/>
      <c r="Z242" s="459"/>
      <c r="AA242" s="459"/>
      <c r="AB242" s="459"/>
      <c r="AC242" s="459"/>
      <c r="AD242" s="459"/>
      <c r="AE242" s="459"/>
      <c r="AF242" s="459"/>
      <c r="AG242" s="459"/>
      <c r="AH242" s="459"/>
      <c r="AI242" s="459"/>
      <c r="AJ242" s="459"/>
      <c r="AK242" s="459"/>
      <c r="AL242" s="459"/>
      <c r="AM242" s="459"/>
      <c r="AN242" s="459"/>
      <c r="AO242" s="459"/>
      <c r="AP242" s="459"/>
      <c r="AQ242" s="459"/>
      <c r="AR242" s="459"/>
      <c r="AS242" s="459"/>
      <c r="AT242" s="459"/>
      <c r="AU242" s="459"/>
      <c r="AV242" s="459"/>
      <c r="AW242" s="459"/>
      <c r="AX242" s="459"/>
      <c r="AY242" s="459"/>
      <c r="AZ242" s="459"/>
      <c r="BA242" s="459"/>
      <c r="BB242" s="459"/>
      <c r="BC242" s="459"/>
      <c r="BD242" s="459"/>
      <c r="BE242" s="459"/>
      <c r="BF242" s="459"/>
      <c r="BG242" s="459"/>
      <c r="BH242" s="459"/>
      <c r="BI242" s="459"/>
      <c r="BJ242" s="459"/>
      <c r="BK242" s="459"/>
      <c r="BL242" s="459"/>
      <c r="BM242" s="459"/>
      <c r="BN242" s="459"/>
      <c r="BO242" s="459"/>
      <c r="BP242" s="459"/>
      <c r="BQ242" s="459"/>
      <c r="BR242" s="459"/>
      <c r="BS242" s="459"/>
      <c r="BT242" s="459"/>
      <c r="BU242" s="459"/>
      <c r="BV242" s="459"/>
      <c r="BW242" s="459"/>
      <c r="BX242" s="459"/>
      <c r="BY242" s="459"/>
      <c r="BZ242" s="459"/>
      <c r="CA242" s="459"/>
      <c r="CB242" s="459"/>
      <c r="CC242" s="459"/>
    </row>
    <row r="243" spans="1:81" s="467" customFormat="1" x14ac:dyDescent="0.2">
      <c r="A243" s="472"/>
      <c r="C243" s="473"/>
      <c r="G243" s="474"/>
      <c r="H243" s="473"/>
      <c r="P243" s="459"/>
      <c r="Q243" s="459"/>
      <c r="R243" s="459"/>
      <c r="S243" s="459"/>
      <c r="T243" s="459"/>
      <c r="U243" s="459"/>
      <c r="V243" s="459"/>
      <c r="W243" s="459"/>
      <c r="X243" s="459"/>
      <c r="Y243" s="459"/>
      <c r="Z243" s="459"/>
      <c r="AA243" s="459"/>
      <c r="AB243" s="459"/>
      <c r="AC243" s="459"/>
      <c r="AD243" s="459"/>
      <c r="AE243" s="459"/>
      <c r="AF243" s="459"/>
      <c r="AG243" s="459"/>
      <c r="AH243" s="459"/>
      <c r="AI243" s="459"/>
      <c r="AJ243" s="459"/>
      <c r="AK243" s="459"/>
      <c r="AL243" s="459"/>
      <c r="AM243" s="459"/>
      <c r="AN243" s="459"/>
      <c r="AO243" s="459"/>
      <c r="AP243" s="459"/>
      <c r="AQ243" s="459"/>
      <c r="AR243" s="459"/>
      <c r="AS243" s="459"/>
      <c r="AT243" s="459"/>
      <c r="AU243" s="459"/>
      <c r="AV243" s="459"/>
      <c r="AW243" s="459"/>
      <c r="AX243" s="459"/>
      <c r="AY243" s="459"/>
      <c r="AZ243" s="459"/>
      <c r="BA243" s="459"/>
      <c r="BB243" s="459"/>
      <c r="BC243" s="459"/>
      <c r="BD243" s="459"/>
      <c r="BE243" s="459"/>
      <c r="BF243" s="459"/>
      <c r="BG243" s="459"/>
      <c r="BH243" s="459"/>
      <c r="BI243" s="459"/>
      <c r="BJ243" s="459"/>
      <c r="BK243" s="459"/>
      <c r="BL243" s="459"/>
      <c r="BM243" s="459"/>
      <c r="BN243" s="459"/>
      <c r="BO243" s="459"/>
      <c r="BP243" s="459"/>
      <c r="BQ243" s="459"/>
      <c r="BR243" s="459"/>
      <c r="BS243" s="459"/>
      <c r="BT243" s="459"/>
      <c r="BU243" s="459"/>
      <c r="BV243" s="459"/>
      <c r="BW243" s="459"/>
      <c r="BX243" s="459"/>
      <c r="BY243" s="459"/>
      <c r="BZ243" s="459"/>
      <c r="CA243" s="459"/>
      <c r="CB243" s="459"/>
      <c r="CC243" s="459"/>
    </row>
    <row r="244" spans="1:81" s="467" customFormat="1" x14ac:dyDescent="0.2">
      <c r="A244" s="472"/>
      <c r="C244" s="473"/>
      <c r="G244" s="474"/>
      <c r="H244" s="473"/>
      <c r="P244" s="459"/>
      <c r="Q244" s="459"/>
      <c r="R244" s="459"/>
      <c r="S244" s="459"/>
      <c r="T244" s="459"/>
      <c r="U244" s="459"/>
      <c r="V244" s="459"/>
      <c r="W244" s="459"/>
      <c r="X244" s="459"/>
      <c r="Y244" s="459"/>
      <c r="Z244" s="459"/>
      <c r="AA244" s="459"/>
      <c r="AB244" s="459"/>
      <c r="AC244" s="459"/>
      <c r="AD244" s="459"/>
      <c r="AE244" s="459"/>
      <c r="AF244" s="459"/>
      <c r="AG244" s="459"/>
      <c r="AH244" s="459"/>
      <c r="AI244" s="459"/>
      <c r="AJ244" s="459"/>
      <c r="AK244" s="459"/>
      <c r="AL244" s="459"/>
      <c r="AM244" s="459"/>
      <c r="AN244" s="459"/>
      <c r="AO244" s="459"/>
      <c r="AP244" s="459"/>
      <c r="AQ244" s="459"/>
      <c r="AR244" s="459"/>
      <c r="AS244" s="459"/>
      <c r="AT244" s="459"/>
      <c r="AU244" s="459"/>
      <c r="AV244" s="459"/>
      <c r="AW244" s="459"/>
      <c r="AX244" s="459"/>
      <c r="AY244" s="459"/>
      <c r="AZ244" s="459"/>
      <c r="BA244" s="459"/>
      <c r="BB244" s="459"/>
      <c r="BC244" s="459"/>
      <c r="BD244" s="459"/>
      <c r="BE244" s="459"/>
      <c r="BF244" s="459"/>
      <c r="BG244" s="459"/>
      <c r="BH244" s="459"/>
      <c r="BI244" s="459"/>
      <c r="BJ244" s="459"/>
      <c r="BK244" s="459"/>
      <c r="BL244" s="459"/>
      <c r="BM244" s="459"/>
      <c r="BN244" s="459"/>
      <c r="BO244" s="459"/>
      <c r="BP244" s="459"/>
      <c r="BQ244" s="459"/>
      <c r="BR244" s="459"/>
      <c r="BS244" s="459"/>
      <c r="BT244" s="459"/>
      <c r="BU244" s="459"/>
      <c r="BV244" s="459"/>
      <c r="BW244" s="459"/>
      <c r="BX244" s="459"/>
      <c r="BY244" s="459"/>
      <c r="BZ244" s="459"/>
      <c r="CA244" s="459"/>
      <c r="CB244" s="459"/>
      <c r="CC244" s="459"/>
    </row>
    <row r="245" spans="1:81" s="467" customFormat="1" x14ac:dyDescent="0.2">
      <c r="A245" s="472"/>
      <c r="C245" s="473"/>
      <c r="G245" s="474"/>
      <c r="H245" s="473"/>
      <c r="P245" s="459"/>
      <c r="Q245" s="459"/>
      <c r="R245" s="459"/>
      <c r="S245" s="459"/>
      <c r="T245" s="459"/>
      <c r="U245" s="459"/>
      <c r="V245" s="459"/>
      <c r="W245" s="459"/>
      <c r="X245" s="459"/>
      <c r="Y245" s="459"/>
      <c r="Z245" s="459"/>
      <c r="AA245" s="459"/>
      <c r="AB245" s="459"/>
      <c r="AC245" s="459"/>
      <c r="AD245" s="459"/>
      <c r="AE245" s="459"/>
      <c r="AF245" s="459"/>
      <c r="AG245" s="459"/>
      <c r="AH245" s="459"/>
      <c r="AI245" s="459"/>
      <c r="AJ245" s="459"/>
      <c r="AK245" s="459"/>
      <c r="AL245" s="459"/>
      <c r="AM245" s="459"/>
      <c r="AN245" s="459"/>
      <c r="AO245" s="459"/>
      <c r="AP245" s="459"/>
      <c r="AQ245" s="459"/>
      <c r="AR245" s="459"/>
      <c r="AS245" s="459"/>
      <c r="AT245" s="459"/>
      <c r="AU245" s="459"/>
      <c r="AV245" s="459"/>
      <c r="AW245" s="459"/>
      <c r="AX245" s="459"/>
      <c r="AY245" s="459"/>
      <c r="AZ245" s="459"/>
      <c r="BA245" s="459"/>
      <c r="BB245" s="459"/>
      <c r="BC245" s="459"/>
      <c r="BD245" s="459"/>
      <c r="BE245" s="459"/>
      <c r="BF245" s="459"/>
      <c r="BG245" s="459"/>
      <c r="BH245" s="459"/>
      <c r="BI245" s="459"/>
      <c r="BJ245" s="459"/>
      <c r="BK245" s="459"/>
      <c r="BL245" s="459"/>
      <c r="BM245" s="459"/>
      <c r="BN245" s="459"/>
      <c r="BO245" s="459"/>
      <c r="BP245" s="459"/>
      <c r="BQ245" s="459"/>
      <c r="BR245" s="459"/>
      <c r="BS245" s="459"/>
      <c r="BT245" s="459"/>
      <c r="BU245" s="459"/>
      <c r="BV245" s="459"/>
      <c r="BW245" s="459"/>
      <c r="BX245" s="459"/>
      <c r="BY245" s="459"/>
      <c r="BZ245" s="459"/>
      <c r="CA245" s="459"/>
      <c r="CB245" s="459"/>
      <c r="CC245" s="459"/>
    </row>
    <row r="246" spans="1:81" s="467" customFormat="1" x14ac:dyDescent="0.2">
      <c r="A246" s="472"/>
      <c r="C246" s="473"/>
      <c r="G246" s="474"/>
      <c r="H246" s="473"/>
      <c r="P246" s="459"/>
      <c r="Q246" s="459"/>
      <c r="R246" s="459"/>
      <c r="S246" s="459"/>
      <c r="T246" s="459"/>
      <c r="U246" s="459"/>
      <c r="V246" s="459"/>
      <c r="W246" s="459"/>
      <c r="X246" s="459"/>
      <c r="Y246" s="459"/>
      <c r="Z246" s="459"/>
      <c r="AA246" s="459"/>
      <c r="AB246" s="459"/>
      <c r="AC246" s="459"/>
      <c r="AD246" s="459"/>
      <c r="AE246" s="459"/>
      <c r="AF246" s="459"/>
      <c r="AG246" s="459"/>
      <c r="AH246" s="459"/>
      <c r="AI246" s="459"/>
      <c r="AJ246" s="459"/>
      <c r="AK246" s="459"/>
      <c r="AL246" s="459"/>
      <c r="AM246" s="459"/>
      <c r="AN246" s="459"/>
      <c r="AO246" s="459"/>
      <c r="AP246" s="459"/>
      <c r="AQ246" s="459"/>
      <c r="AR246" s="459"/>
      <c r="AS246" s="459"/>
      <c r="AT246" s="459"/>
      <c r="AU246" s="459"/>
      <c r="AV246" s="459"/>
      <c r="AW246" s="459"/>
      <c r="AX246" s="459"/>
      <c r="AY246" s="459"/>
      <c r="AZ246" s="459"/>
      <c r="BA246" s="459"/>
      <c r="BB246" s="459"/>
      <c r="BC246" s="459"/>
      <c r="BD246" s="459"/>
      <c r="BE246" s="459"/>
      <c r="BF246" s="459"/>
      <c r="BG246" s="459"/>
      <c r="BH246" s="459"/>
      <c r="BI246" s="459"/>
      <c r="BJ246" s="459"/>
      <c r="BK246" s="459"/>
      <c r="BL246" s="459"/>
      <c r="BM246" s="459"/>
      <c r="BN246" s="459"/>
      <c r="BO246" s="459"/>
      <c r="BP246" s="459"/>
      <c r="BQ246" s="459"/>
      <c r="BR246" s="459"/>
      <c r="BS246" s="459"/>
      <c r="BT246" s="459"/>
      <c r="BU246" s="459"/>
      <c r="BV246" s="459"/>
      <c r="BW246" s="459"/>
      <c r="BX246" s="459"/>
      <c r="BY246" s="459"/>
      <c r="BZ246" s="459"/>
      <c r="CA246" s="459"/>
      <c r="CB246" s="459"/>
      <c r="CC246" s="459"/>
    </row>
    <row r="247" spans="1:81" s="467" customFormat="1" x14ac:dyDescent="0.2">
      <c r="A247" s="472"/>
      <c r="C247" s="473"/>
      <c r="G247" s="474"/>
      <c r="H247" s="473"/>
      <c r="P247" s="459"/>
      <c r="Q247" s="459"/>
      <c r="R247" s="459"/>
      <c r="S247" s="459"/>
      <c r="T247" s="459"/>
      <c r="U247" s="459"/>
      <c r="V247" s="459"/>
      <c r="W247" s="459"/>
      <c r="X247" s="459"/>
      <c r="Y247" s="459"/>
      <c r="Z247" s="459"/>
      <c r="AA247" s="459"/>
      <c r="AB247" s="459"/>
      <c r="AC247" s="459"/>
      <c r="AD247" s="459"/>
      <c r="AE247" s="459"/>
      <c r="AF247" s="459"/>
      <c r="AG247" s="459"/>
      <c r="AH247" s="459"/>
      <c r="AI247" s="459"/>
      <c r="AJ247" s="459"/>
      <c r="AK247" s="459"/>
      <c r="AL247" s="459"/>
      <c r="AM247" s="459"/>
      <c r="AN247" s="459"/>
      <c r="AO247" s="459"/>
      <c r="AP247" s="459"/>
      <c r="AQ247" s="459"/>
      <c r="AR247" s="459"/>
      <c r="AS247" s="459"/>
      <c r="AT247" s="459"/>
      <c r="AU247" s="459"/>
      <c r="AV247" s="459"/>
      <c r="AW247" s="459"/>
      <c r="AX247" s="459"/>
      <c r="AY247" s="459"/>
      <c r="AZ247" s="459"/>
      <c r="BA247" s="459"/>
      <c r="BB247" s="459"/>
      <c r="BC247" s="459"/>
      <c r="BD247" s="459"/>
      <c r="BE247" s="459"/>
      <c r="BF247" s="459"/>
      <c r="BG247" s="459"/>
      <c r="BH247" s="459"/>
      <c r="BI247" s="459"/>
      <c r="BJ247" s="459"/>
      <c r="BK247" s="459"/>
      <c r="BL247" s="459"/>
      <c r="BM247" s="459"/>
      <c r="BN247" s="459"/>
      <c r="BO247" s="459"/>
      <c r="BP247" s="459"/>
      <c r="BQ247" s="459"/>
      <c r="BR247" s="459"/>
      <c r="BS247" s="459"/>
      <c r="BT247" s="459"/>
      <c r="BU247" s="459"/>
      <c r="BV247" s="459"/>
      <c r="BW247" s="459"/>
      <c r="BX247" s="459"/>
      <c r="BY247" s="459"/>
      <c r="BZ247" s="459"/>
      <c r="CA247" s="459"/>
      <c r="CB247" s="459"/>
      <c r="CC247" s="459"/>
    </row>
    <row r="248" spans="1:81" s="467" customFormat="1" x14ac:dyDescent="0.2">
      <c r="A248" s="472"/>
      <c r="C248" s="473"/>
      <c r="G248" s="474"/>
      <c r="H248" s="473"/>
      <c r="P248" s="459"/>
      <c r="Q248" s="459"/>
      <c r="R248" s="459"/>
      <c r="S248" s="459"/>
      <c r="T248" s="459"/>
      <c r="U248" s="459"/>
      <c r="V248" s="459"/>
      <c r="W248" s="459"/>
      <c r="X248" s="459"/>
      <c r="Y248" s="459"/>
      <c r="Z248" s="459"/>
      <c r="AA248" s="459"/>
      <c r="AB248" s="459"/>
      <c r="AC248" s="459"/>
      <c r="AD248" s="459"/>
      <c r="AE248" s="459"/>
      <c r="AF248" s="459"/>
      <c r="AG248" s="459"/>
      <c r="AH248" s="459"/>
      <c r="AI248" s="459"/>
      <c r="AJ248" s="459"/>
      <c r="AK248" s="459"/>
      <c r="AL248" s="459"/>
      <c r="AM248" s="459"/>
      <c r="AN248" s="459"/>
      <c r="AO248" s="459"/>
      <c r="AP248" s="459"/>
      <c r="AQ248" s="459"/>
      <c r="AR248" s="459"/>
      <c r="AS248" s="459"/>
      <c r="AT248" s="459"/>
      <c r="AU248" s="459"/>
      <c r="AV248" s="459"/>
      <c r="AW248" s="459"/>
      <c r="AX248" s="459"/>
      <c r="AY248" s="459"/>
      <c r="AZ248" s="459"/>
      <c r="BA248" s="459"/>
      <c r="BB248" s="459"/>
      <c r="BC248" s="459"/>
      <c r="BD248" s="459"/>
      <c r="BE248" s="459"/>
      <c r="BF248" s="459"/>
      <c r="BG248" s="459"/>
      <c r="BH248" s="459"/>
      <c r="BI248" s="459"/>
      <c r="BJ248" s="459"/>
      <c r="BK248" s="459"/>
      <c r="BL248" s="459"/>
      <c r="BM248" s="459"/>
      <c r="BN248" s="459"/>
      <c r="BO248" s="459"/>
      <c r="BP248" s="459"/>
      <c r="BQ248" s="459"/>
      <c r="BR248" s="459"/>
      <c r="BS248" s="459"/>
      <c r="BT248" s="459"/>
      <c r="BU248" s="459"/>
      <c r="BV248" s="459"/>
      <c r="BW248" s="459"/>
      <c r="BX248" s="459"/>
      <c r="BY248" s="459"/>
      <c r="BZ248" s="459"/>
      <c r="CA248" s="459"/>
      <c r="CB248" s="459"/>
      <c r="CC248" s="459"/>
    </row>
    <row r="249" spans="1:81" s="467" customFormat="1" x14ac:dyDescent="0.2">
      <c r="A249" s="472"/>
      <c r="C249" s="473"/>
      <c r="G249" s="474"/>
      <c r="H249" s="473"/>
      <c r="P249" s="459"/>
      <c r="Q249" s="459"/>
      <c r="R249" s="459"/>
      <c r="S249" s="459"/>
      <c r="T249" s="459"/>
      <c r="U249" s="459"/>
      <c r="V249" s="459"/>
      <c r="W249" s="459"/>
      <c r="X249" s="459"/>
      <c r="Y249" s="459"/>
      <c r="Z249" s="459"/>
      <c r="AA249" s="459"/>
      <c r="AB249" s="459"/>
      <c r="AC249" s="459"/>
      <c r="AD249" s="459"/>
      <c r="AE249" s="459"/>
      <c r="AF249" s="459"/>
      <c r="AG249" s="459"/>
      <c r="AH249" s="459"/>
      <c r="AI249" s="459"/>
      <c r="AJ249" s="459"/>
      <c r="AK249" s="459"/>
      <c r="AL249" s="459"/>
      <c r="AM249" s="459"/>
      <c r="AN249" s="459"/>
      <c r="AO249" s="459"/>
      <c r="AP249" s="459"/>
      <c r="AQ249" s="459"/>
      <c r="AR249" s="459"/>
      <c r="AS249" s="459"/>
      <c r="AT249" s="459"/>
      <c r="AU249" s="459"/>
      <c r="AV249" s="459"/>
      <c r="AW249" s="459"/>
      <c r="AX249" s="459"/>
      <c r="AY249" s="459"/>
      <c r="AZ249" s="459"/>
      <c r="BA249" s="459"/>
      <c r="BB249" s="459"/>
      <c r="BC249" s="459"/>
      <c r="BD249" s="459"/>
      <c r="BE249" s="459"/>
      <c r="BF249" s="459"/>
      <c r="BG249" s="459"/>
      <c r="BH249" s="459"/>
      <c r="BI249" s="459"/>
      <c r="BJ249" s="459"/>
      <c r="BK249" s="459"/>
      <c r="BL249" s="459"/>
      <c r="BM249" s="459"/>
      <c r="BN249" s="459"/>
      <c r="BO249" s="459"/>
      <c r="BP249" s="459"/>
      <c r="BQ249" s="459"/>
      <c r="BR249" s="459"/>
      <c r="BS249" s="459"/>
      <c r="BT249" s="459"/>
      <c r="BU249" s="459"/>
      <c r="BV249" s="459"/>
      <c r="BW249" s="459"/>
      <c r="BX249" s="459"/>
      <c r="BY249" s="459"/>
      <c r="BZ249" s="459"/>
      <c r="CA249" s="459"/>
      <c r="CB249" s="459"/>
      <c r="CC249" s="459"/>
    </row>
    <row r="250" spans="1:81" s="467" customFormat="1" x14ac:dyDescent="0.2">
      <c r="A250" s="472"/>
      <c r="C250" s="473"/>
      <c r="G250" s="474"/>
      <c r="H250" s="473"/>
      <c r="P250" s="459"/>
      <c r="Q250" s="459"/>
      <c r="R250" s="459"/>
      <c r="S250" s="459"/>
      <c r="T250" s="459"/>
      <c r="U250" s="459"/>
      <c r="V250" s="459"/>
      <c r="W250" s="459"/>
      <c r="X250" s="459"/>
      <c r="Y250" s="459"/>
      <c r="Z250" s="459"/>
      <c r="AA250" s="459"/>
      <c r="AB250" s="459"/>
      <c r="AC250" s="459"/>
      <c r="AD250" s="459"/>
      <c r="AE250" s="459"/>
      <c r="AF250" s="459"/>
      <c r="AG250" s="459"/>
      <c r="AH250" s="459"/>
      <c r="AI250" s="459"/>
      <c r="AJ250" s="459"/>
      <c r="AK250" s="459"/>
      <c r="AL250" s="459"/>
      <c r="AM250" s="459"/>
      <c r="AN250" s="459"/>
      <c r="AO250" s="459"/>
      <c r="AP250" s="459"/>
      <c r="AQ250" s="459"/>
      <c r="AR250" s="459"/>
      <c r="AS250" s="459"/>
      <c r="AT250" s="459"/>
      <c r="AU250" s="459"/>
      <c r="AV250" s="459"/>
      <c r="AW250" s="459"/>
      <c r="AX250" s="459"/>
      <c r="AY250" s="459"/>
      <c r="AZ250" s="459"/>
      <c r="BA250" s="459"/>
      <c r="BB250" s="459"/>
      <c r="BC250" s="459"/>
      <c r="BD250" s="459"/>
      <c r="BE250" s="459"/>
      <c r="BF250" s="459"/>
      <c r="BG250" s="459"/>
      <c r="BH250" s="459"/>
      <c r="BI250" s="459"/>
      <c r="BJ250" s="459"/>
      <c r="BK250" s="459"/>
      <c r="BL250" s="459"/>
      <c r="BM250" s="459"/>
      <c r="BN250" s="459"/>
      <c r="BO250" s="459"/>
      <c r="BP250" s="459"/>
      <c r="BQ250" s="459"/>
      <c r="BR250" s="459"/>
      <c r="BS250" s="459"/>
      <c r="BT250" s="459"/>
      <c r="BU250" s="459"/>
      <c r="BV250" s="459"/>
      <c r="BW250" s="459"/>
      <c r="BX250" s="459"/>
      <c r="BY250" s="459"/>
      <c r="BZ250" s="459"/>
      <c r="CA250" s="459"/>
      <c r="CB250" s="459"/>
      <c r="CC250" s="459"/>
    </row>
    <row r="251" spans="1:81" s="467" customFormat="1" x14ac:dyDescent="0.2">
      <c r="A251" s="472"/>
      <c r="C251" s="473"/>
      <c r="G251" s="474"/>
      <c r="H251" s="473"/>
      <c r="P251" s="459"/>
      <c r="Q251" s="459"/>
      <c r="R251" s="459"/>
      <c r="S251" s="459"/>
      <c r="T251" s="459"/>
      <c r="U251" s="459"/>
      <c r="V251" s="459"/>
      <c r="W251" s="459"/>
      <c r="X251" s="459"/>
      <c r="Y251" s="459"/>
      <c r="Z251" s="459"/>
      <c r="AA251" s="459"/>
      <c r="AB251" s="459"/>
      <c r="AC251" s="459"/>
      <c r="AD251" s="459"/>
      <c r="AE251" s="459"/>
      <c r="AF251" s="459"/>
      <c r="AG251" s="459"/>
      <c r="AH251" s="459"/>
      <c r="AI251" s="459"/>
      <c r="AJ251" s="459"/>
      <c r="AK251" s="459"/>
      <c r="AL251" s="459"/>
      <c r="AM251" s="459"/>
      <c r="AN251" s="459"/>
      <c r="AO251" s="459"/>
      <c r="AP251" s="459"/>
      <c r="AQ251" s="459"/>
      <c r="AR251" s="459"/>
      <c r="AS251" s="459"/>
      <c r="AT251" s="459"/>
      <c r="AU251" s="459"/>
      <c r="AV251" s="459"/>
      <c r="AW251" s="459"/>
      <c r="AX251" s="459"/>
      <c r="AY251" s="459"/>
      <c r="AZ251" s="459"/>
      <c r="BA251" s="459"/>
      <c r="BB251" s="459"/>
      <c r="BC251" s="459"/>
      <c r="BD251" s="459"/>
      <c r="BE251" s="459"/>
      <c r="BF251" s="459"/>
      <c r="BG251" s="459"/>
      <c r="BH251" s="459"/>
      <c r="BI251" s="459"/>
      <c r="BJ251" s="459"/>
      <c r="BK251" s="459"/>
      <c r="BL251" s="459"/>
      <c r="BM251" s="459"/>
      <c r="BN251" s="459"/>
      <c r="BO251" s="459"/>
      <c r="BP251" s="459"/>
      <c r="BQ251" s="459"/>
      <c r="BR251" s="459"/>
      <c r="BS251" s="459"/>
      <c r="BT251" s="459"/>
      <c r="BU251" s="459"/>
      <c r="BV251" s="459"/>
      <c r="BW251" s="459"/>
      <c r="BX251" s="459"/>
      <c r="BY251" s="459"/>
      <c r="BZ251" s="459"/>
      <c r="CA251" s="459"/>
      <c r="CB251" s="459"/>
      <c r="CC251" s="459"/>
    </row>
    <row r="252" spans="1:81" s="467" customFormat="1" x14ac:dyDescent="0.2">
      <c r="A252" s="472"/>
      <c r="C252" s="473"/>
      <c r="G252" s="474"/>
      <c r="H252" s="473"/>
      <c r="P252" s="459"/>
      <c r="Q252" s="459"/>
      <c r="R252" s="459"/>
      <c r="S252" s="459"/>
      <c r="T252" s="459"/>
      <c r="U252" s="459"/>
      <c r="V252" s="459"/>
      <c r="W252" s="459"/>
      <c r="X252" s="459"/>
      <c r="Y252" s="459"/>
      <c r="Z252" s="459"/>
      <c r="AA252" s="459"/>
      <c r="AB252" s="459"/>
      <c r="AC252" s="459"/>
      <c r="AD252" s="459"/>
      <c r="AE252" s="459"/>
      <c r="AF252" s="459"/>
      <c r="AG252" s="459"/>
      <c r="AH252" s="459"/>
      <c r="AI252" s="459"/>
      <c r="AJ252" s="459"/>
      <c r="AK252" s="459"/>
      <c r="AL252" s="459"/>
      <c r="AM252" s="459"/>
      <c r="AN252" s="459"/>
      <c r="AO252" s="459"/>
      <c r="AP252" s="459"/>
      <c r="AQ252" s="459"/>
      <c r="AR252" s="459"/>
      <c r="AS252" s="459"/>
      <c r="AT252" s="459"/>
      <c r="AU252" s="459"/>
      <c r="AV252" s="459"/>
      <c r="AW252" s="459"/>
      <c r="AX252" s="459"/>
      <c r="AY252" s="459"/>
      <c r="AZ252" s="459"/>
      <c r="BA252" s="459"/>
      <c r="BB252" s="459"/>
      <c r="BC252" s="459"/>
      <c r="BD252" s="459"/>
      <c r="BE252" s="459"/>
      <c r="BF252" s="459"/>
      <c r="BG252" s="459"/>
      <c r="BH252" s="459"/>
      <c r="BI252" s="459"/>
      <c r="BJ252" s="459"/>
      <c r="BK252" s="459"/>
      <c r="BL252" s="459"/>
      <c r="BM252" s="459"/>
      <c r="BN252" s="459"/>
      <c r="BO252" s="459"/>
      <c r="BP252" s="459"/>
      <c r="BQ252" s="459"/>
      <c r="BR252" s="459"/>
      <c r="BS252" s="459"/>
      <c r="BT252" s="459"/>
      <c r="BU252" s="459"/>
      <c r="BV252" s="459"/>
      <c r="BW252" s="459"/>
      <c r="BX252" s="459"/>
      <c r="BY252" s="459"/>
      <c r="BZ252" s="459"/>
      <c r="CA252" s="459"/>
      <c r="CB252" s="459"/>
      <c r="CC252" s="459"/>
    </row>
    <row r="253" spans="1:81" s="467" customFormat="1" x14ac:dyDescent="0.2">
      <c r="A253" s="472"/>
      <c r="C253" s="473"/>
      <c r="G253" s="474"/>
      <c r="H253" s="473"/>
      <c r="P253" s="459"/>
      <c r="Q253" s="459"/>
      <c r="R253" s="459"/>
      <c r="S253" s="459"/>
      <c r="T253" s="459"/>
      <c r="U253" s="459"/>
      <c r="V253" s="459"/>
      <c r="W253" s="459"/>
      <c r="X253" s="459"/>
      <c r="Y253" s="459"/>
      <c r="Z253" s="459"/>
      <c r="AA253" s="459"/>
      <c r="AB253" s="459"/>
      <c r="AC253" s="459"/>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59"/>
      <c r="AY253" s="459"/>
      <c r="AZ253" s="459"/>
      <c r="BA253" s="459"/>
      <c r="BB253" s="459"/>
      <c r="BC253" s="459"/>
      <c r="BD253" s="459"/>
      <c r="BE253" s="459"/>
      <c r="BF253" s="459"/>
      <c r="BG253" s="459"/>
      <c r="BH253" s="459"/>
      <c r="BI253" s="459"/>
      <c r="BJ253" s="459"/>
      <c r="BK253" s="459"/>
      <c r="BL253" s="459"/>
      <c r="BM253" s="459"/>
      <c r="BN253" s="459"/>
      <c r="BO253" s="459"/>
      <c r="BP253" s="459"/>
      <c r="BQ253" s="459"/>
      <c r="BR253" s="459"/>
      <c r="BS253" s="459"/>
      <c r="BT253" s="459"/>
      <c r="BU253" s="459"/>
      <c r="BV253" s="459"/>
      <c r="BW253" s="459"/>
      <c r="BX253" s="459"/>
      <c r="BY253" s="459"/>
      <c r="BZ253" s="459"/>
      <c r="CA253" s="459"/>
      <c r="CB253" s="459"/>
      <c r="CC253" s="459"/>
    </row>
    <row r="254" spans="1:81" s="467" customFormat="1" x14ac:dyDescent="0.2">
      <c r="A254" s="472"/>
      <c r="C254" s="473"/>
      <c r="G254" s="474"/>
      <c r="H254" s="473"/>
      <c r="P254" s="459"/>
      <c r="Q254" s="459"/>
      <c r="R254" s="459"/>
      <c r="S254" s="459"/>
      <c r="T254" s="459"/>
      <c r="U254" s="459"/>
      <c r="V254" s="459"/>
      <c r="W254" s="459"/>
      <c r="X254" s="459"/>
      <c r="Y254" s="459"/>
      <c r="Z254" s="459"/>
      <c r="AA254" s="459"/>
      <c r="AB254" s="459"/>
      <c r="AC254" s="459"/>
      <c r="AD254" s="459"/>
      <c r="AE254" s="459"/>
      <c r="AF254" s="459"/>
      <c r="AG254" s="459"/>
      <c r="AH254" s="459"/>
      <c r="AI254" s="459"/>
      <c r="AJ254" s="459"/>
      <c r="AK254" s="459"/>
      <c r="AL254" s="459"/>
      <c r="AM254" s="459"/>
      <c r="AN254" s="459"/>
      <c r="AO254" s="459"/>
      <c r="AP254" s="459"/>
      <c r="AQ254" s="459"/>
      <c r="AR254" s="459"/>
      <c r="AS254" s="459"/>
      <c r="AT254" s="459"/>
      <c r="AU254" s="459"/>
      <c r="AV254" s="459"/>
      <c r="AW254" s="459"/>
      <c r="AX254" s="459"/>
      <c r="AY254" s="459"/>
      <c r="AZ254" s="459"/>
      <c r="BA254" s="459"/>
      <c r="BB254" s="459"/>
      <c r="BC254" s="459"/>
      <c r="BD254" s="459"/>
      <c r="BE254" s="459"/>
      <c r="BF254" s="459"/>
      <c r="BG254" s="459"/>
      <c r="BH254" s="459"/>
      <c r="BI254" s="459"/>
      <c r="BJ254" s="459"/>
      <c r="BK254" s="459"/>
      <c r="BL254" s="459"/>
      <c r="BM254" s="459"/>
      <c r="BN254" s="459"/>
      <c r="BO254" s="459"/>
      <c r="BP254" s="459"/>
      <c r="BQ254" s="459"/>
      <c r="BR254" s="459"/>
      <c r="BS254" s="459"/>
      <c r="BT254" s="459"/>
      <c r="BU254" s="459"/>
      <c r="BV254" s="459"/>
      <c r="BW254" s="459"/>
      <c r="BX254" s="459"/>
      <c r="BY254" s="459"/>
      <c r="BZ254" s="459"/>
      <c r="CA254" s="459"/>
      <c r="CB254" s="459"/>
      <c r="CC254" s="459"/>
    </row>
    <row r="255" spans="1:81" s="467" customFormat="1" x14ac:dyDescent="0.2">
      <c r="A255" s="472"/>
      <c r="C255" s="473"/>
      <c r="G255" s="474"/>
      <c r="H255" s="473"/>
      <c r="P255" s="459"/>
      <c r="Q255" s="459"/>
      <c r="R255" s="459"/>
      <c r="S255" s="459"/>
      <c r="T255" s="459"/>
      <c r="U255" s="459"/>
      <c r="V255" s="459"/>
      <c r="W255" s="459"/>
      <c r="X255" s="459"/>
      <c r="Y255" s="459"/>
      <c r="Z255" s="459"/>
      <c r="AA255" s="459"/>
      <c r="AB255" s="459"/>
      <c r="AC255" s="459"/>
      <c r="AD255" s="459"/>
      <c r="AE255" s="459"/>
      <c r="AF255" s="459"/>
      <c r="AG255" s="459"/>
      <c r="AH255" s="459"/>
      <c r="AI255" s="459"/>
      <c r="AJ255" s="459"/>
      <c r="AK255" s="459"/>
      <c r="AL255" s="459"/>
      <c r="AM255" s="459"/>
      <c r="AN255" s="459"/>
      <c r="AO255" s="459"/>
      <c r="AP255" s="459"/>
      <c r="AQ255" s="459"/>
      <c r="AR255" s="459"/>
      <c r="AS255" s="459"/>
      <c r="AT255" s="459"/>
      <c r="AU255" s="459"/>
      <c r="AV255" s="459"/>
      <c r="AW255" s="459"/>
      <c r="AX255" s="459"/>
      <c r="AY255" s="459"/>
      <c r="AZ255" s="459"/>
      <c r="BA255" s="459"/>
      <c r="BB255" s="459"/>
      <c r="BC255" s="459"/>
      <c r="BD255" s="459"/>
      <c r="BE255" s="459"/>
      <c r="BF255" s="459"/>
      <c r="BG255" s="459"/>
      <c r="BH255" s="459"/>
      <c r="BI255" s="459"/>
      <c r="BJ255" s="459"/>
      <c r="BK255" s="459"/>
      <c r="BL255" s="459"/>
      <c r="BM255" s="459"/>
      <c r="BN255" s="459"/>
      <c r="BO255" s="459"/>
      <c r="BP255" s="459"/>
      <c r="BQ255" s="459"/>
      <c r="BR255" s="459"/>
      <c r="BS255" s="459"/>
      <c r="BT255" s="459"/>
      <c r="BU255" s="459"/>
      <c r="BV255" s="459"/>
      <c r="BW255" s="459"/>
      <c r="BX255" s="459"/>
      <c r="BY255" s="459"/>
      <c r="BZ255" s="459"/>
      <c r="CA255" s="459"/>
      <c r="CB255" s="459"/>
      <c r="CC255" s="459"/>
    </row>
    <row r="256" spans="1:81" s="467" customFormat="1" x14ac:dyDescent="0.2">
      <c r="A256" s="472"/>
      <c r="C256" s="473"/>
      <c r="G256" s="474"/>
      <c r="H256" s="473"/>
      <c r="P256" s="459"/>
      <c r="Q256" s="459"/>
      <c r="R256" s="459"/>
      <c r="S256" s="459"/>
      <c r="T256" s="459"/>
      <c r="U256" s="459"/>
      <c r="V256" s="459"/>
      <c r="W256" s="459"/>
      <c r="X256" s="459"/>
      <c r="Y256" s="459"/>
      <c r="Z256" s="459"/>
      <c r="AA256" s="459"/>
      <c r="AB256" s="459"/>
      <c r="AC256" s="459"/>
      <c r="AD256" s="459"/>
      <c r="AE256" s="459"/>
      <c r="AF256" s="459"/>
      <c r="AG256" s="459"/>
      <c r="AH256" s="459"/>
      <c r="AI256" s="459"/>
      <c r="AJ256" s="459"/>
      <c r="AK256" s="459"/>
      <c r="AL256" s="459"/>
      <c r="AM256" s="459"/>
      <c r="AN256" s="459"/>
      <c r="AO256" s="459"/>
      <c r="AP256" s="459"/>
      <c r="AQ256" s="459"/>
      <c r="AR256" s="459"/>
      <c r="AS256" s="459"/>
      <c r="AT256" s="459"/>
      <c r="AU256" s="459"/>
      <c r="AV256" s="459"/>
      <c r="AW256" s="459"/>
      <c r="AX256" s="459"/>
      <c r="AY256" s="459"/>
      <c r="AZ256" s="459"/>
      <c r="BA256" s="459"/>
      <c r="BB256" s="459"/>
      <c r="BC256" s="459"/>
      <c r="BD256" s="459"/>
      <c r="BE256" s="459"/>
      <c r="BF256" s="459"/>
      <c r="BG256" s="459"/>
      <c r="BH256" s="459"/>
      <c r="BI256" s="459"/>
      <c r="BJ256" s="459"/>
      <c r="BK256" s="459"/>
      <c r="BL256" s="459"/>
      <c r="BM256" s="459"/>
      <c r="BN256" s="459"/>
      <c r="BO256" s="459"/>
      <c r="BP256" s="459"/>
      <c r="BQ256" s="459"/>
      <c r="BR256" s="459"/>
      <c r="BS256" s="459"/>
      <c r="BT256" s="459"/>
      <c r="BU256" s="459"/>
      <c r="BV256" s="459"/>
      <c r="BW256" s="459"/>
      <c r="BX256" s="459"/>
      <c r="BY256" s="459"/>
      <c r="BZ256" s="459"/>
      <c r="CA256" s="459"/>
      <c r="CB256" s="459"/>
      <c r="CC256" s="459"/>
    </row>
    <row r="257" spans="1:81" s="467" customFormat="1" x14ac:dyDescent="0.2">
      <c r="A257" s="472"/>
      <c r="C257" s="473"/>
      <c r="G257" s="474"/>
      <c r="H257" s="473"/>
      <c r="P257" s="459"/>
      <c r="Q257" s="459"/>
      <c r="R257" s="459"/>
      <c r="S257" s="459"/>
      <c r="T257" s="459"/>
      <c r="U257" s="459"/>
      <c r="V257" s="459"/>
      <c r="W257" s="459"/>
      <c r="X257" s="459"/>
      <c r="Y257" s="459"/>
      <c r="Z257" s="459"/>
      <c r="AA257" s="459"/>
      <c r="AB257" s="459"/>
      <c r="AC257" s="459"/>
      <c r="AD257" s="459"/>
      <c r="AE257" s="459"/>
      <c r="AF257" s="459"/>
      <c r="AG257" s="459"/>
      <c r="AH257" s="459"/>
      <c r="AI257" s="459"/>
      <c r="AJ257" s="459"/>
      <c r="AK257" s="459"/>
      <c r="AL257" s="459"/>
      <c r="AM257" s="459"/>
      <c r="AN257" s="459"/>
      <c r="AO257" s="459"/>
      <c r="AP257" s="459"/>
      <c r="AQ257" s="459"/>
      <c r="AR257" s="459"/>
      <c r="AS257" s="459"/>
      <c r="AT257" s="459"/>
      <c r="AU257" s="459"/>
      <c r="AV257" s="459"/>
      <c r="AW257" s="459"/>
      <c r="AX257" s="459"/>
      <c r="AY257" s="459"/>
      <c r="AZ257" s="459"/>
      <c r="BA257" s="459"/>
      <c r="BB257" s="459"/>
      <c r="BC257" s="459"/>
      <c r="BD257" s="459"/>
      <c r="BE257" s="459"/>
      <c r="BF257" s="459"/>
      <c r="BG257" s="459"/>
      <c r="BH257" s="459"/>
      <c r="BI257" s="459"/>
      <c r="BJ257" s="459"/>
      <c r="BK257" s="459"/>
      <c r="BL257" s="459"/>
      <c r="BM257" s="459"/>
      <c r="BN257" s="459"/>
      <c r="BO257" s="459"/>
      <c r="BP257" s="459"/>
      <c r="BQ257" s="459"/>
      <c r="BR257" s="459"/>
      <c r="BS257" s="459"/>
      <c r="BT257" s="459"/>
      <c r="BU257" s="459"/>
      <c r="BV257" s="459"/>
      <c r="BW257" s="459"/>
      <c r="BX257" s="459"/>
      <c r="BY257" s="459"/>
      <c r="BZ257" s="459"/>
      <c r="CA257" s="459"/>
      <c r="CB257" s="459"/>
      <c r="CC257" s="459"/>
    </row>
    <row r="258" spans="1:81" s="467" customFormat="1" x14ac:dyDescent="0.2">
      <c r="A258" s="472"/>
      <c r="C258" s="473"/>
      <c r="G258" s="474"/>
      <c r="H258" s="473"/>
      <c r="P258" s="459"/>
      <c r="Q258" s="459"/>
      <c r="R258" s="459"/>
      <c r="S258" s="459"/>
      <c r="T258" s="459"/>
      <c r="U258" s="459"/>
      <c r="V258" s="459"/>
      <c r="W258" s="459"/>
      <c r="X258" s="459"/>
      <c r="Y258" s="459"/>
      <c r="Z258" s="459"/>
      <c r="AA258" s="459"/>
      <c r="AB258" s="459"/>
      <c r="AC258" s="459"/>
      <c r="AD258" s="459"/>
      <c r="AE258" s="459"/>
      <c r="AF258" s="459"/>
      <c r="AG258" s="459"/>
      <c r="AH258" s="459"/>
      <c r="AI258" s="459"/>
      <c r="AJ258" s="459"/>
      <c r="AK258" s="459"/>
      <c r="AL258" s="459"/>
      <c r="AM258" s="459"/>
      <c r="AN258" s="459"/>
      <c r="AO258" s="459"/>
      <c r="AP258" s="459"/>
      <c r="AQ258" s="459"/>
      <c r="AR258" s="459"/>
      <c r="AS258" s="459"/>
      <c r="AT258" s="459"/>
      <c r="AU258" s="459"/>
      <c r="AV258" s="459"/>
      <c r="AW258" s="459"/>
      <c r="AX258" s="459"/>
      <c r="AY258" s="459"/>
      <c r="AZ258" s="459"/>
      <c r="BA258" s="459"/>
      <c r="BB258" s="459"/>
      <c r="BC258" s="459"/>
      <c r="BD258" s="459"/>
      <c r="BE258" s="459"/>
      <c r="BF258" s="459"/>
      <c r="BG258" s="459"/>
      <c r="BH258" s="459"/>
      <c r="BI258" s="459"/>
      <c r="BJ258" s="459"/>
      <c r="BK258" s="459"/>
      <c r="BL258" s="459"/>
      <c r="BM258" s="459"/>
      <c r="BN258" s="459"/>
      <c r="BO258" s="459"/>
      <c r="BP258" s="459"/>
      <c r="BQ258" s="459"/>
      <c r="BR258" s="459"/>
      <c r="BS258" s="459"/>
      <c r="BT258" s="459"/>
      <c r="BU258" s="459"/>
      <c r="BV258" s="459"/>
      <c r="BW258" s="459"/>
      <c r="BX258" s="459"/>
      <c r="BY258" s="459"/>
      <c r="BZ258" s="459"/>
      <c r="CA258" s="459"/>
      <c r="CB258" s="459"/>
      <c r="CC258" s="459"/>
    </row>
    <row r="259" spans="1:81" s="467" customFormat="1" x14ac:dyDescent="0.2">
      <c r="A259" s="472"/>
      <c r="C259" s="473"/>
      <c r="G259" s="474"/>
      <c r="H259" s="473"/>
      <c r="P259" s="459"/>
      <c r="Q259" s="459"/>
      <c r="R259" s="459"/>
      <c r="S259" s="459"/>
      <c r="T259" s="459"/>
      <c r="U259" s="459"/>
      <c r="V259" s="459"/>
      <c r="W259" s="459"/>
      <c r="X259" s="459"/>
      <c r="Y259" s="459"/>
      <c r="Z259" s="459"/>
      <c r="AA259" s="459"/>
      <c r="AB259" s="459"/>
      <c r="AC259" s="459"/>
      <c r="AD259" s="459"/>
      <c r="AE259" s="459"/>
      <c r="AF259" s="459"/>
      <c r="AG259" s="459"/>
      <c r="AH259" s="459"/>
      <c r="AI259" s="459"/>
      <c r="AJ259" s="459"/>
      <c r="AK259" s="459"/>
      <c r="AL259" s="459"/>
      <c r="AM259" s="459"/>
      <c r="AN259" s="459"/>
      <c r="AO259" s="459"/>
      <c r="AP259" s="459"/>
      <c r="AQ259" s="459"/>
      <c r="AR259" s="459"/>
      <c r="AS259" s="459"/>
      <c r="AT259" s="459"/>
      <c r="AU259" s="459"/>
      <c r="AV259" s="459"/>
      <c r="AW259" s="459"/>
      <c r="AX259" s="459"/>
      <c r="AY259" s="459"/>
      <c r="AZ259" s="459"/>
      <c r="BA259" s="459"/>
      <c r="BB259" s="459"/>
      <c r="BC259" s="459"/>
      <c r="BD259" s="459"/>
      <c r="BE259" s="459"/>
      <c r="BF259" s="459"/>
      <c r="BG259" s="459"/>
      <c r="BH259" s="459"/>
      <c r="BI259" s="459"/>
      <c r="BJ259" s="459"/>
      <c r="BK259" s="459"/>
      <c r="BL259" s="459"/>
      <c r="BM259" s="459"/>
      <c r="BN259" s="459"/>
      <c r="BO259" s="459"/>
      <c r="BP259" s="459"/>
      <c r="BQ259" s="459"/>
      <c r="BR259" s="459"/>
      <c r="BS259" s="459"/>
      <c r="BT259" s="459"/>
      <c r="BU259" s="459"/>
      <c r="BV259" s="459"/>
      <c r="BW259" s="459"/>
      <c r="BX259" s="459"/>
      <c r="BY259" s="459"/>
      <c r="BZ259" s="459"/>
      <c r="CA259" s="459"/>
      <c r="CB259" s="459"/>
      <c r="CC259" s="459"/>
    </row>
    <row r="260" spans="1:81" s="467" customFormat="1" x14ac:dyDescent="0.2">
      <c r="A260" s="472"/>
      <c r="C260" s="473"/>
      <c r="G260" s="474"/>
      <c r="H260" s="473"/>
      <c r="P260" s="459"/>
      <c r="Q260" s="459"/>
      <c r="R260" s="459"/>
      <c r="S260" s="459"/>
      <c r="T260" s="459"/>
      <c r="U260" s="459"/>
      <c r="V260" s="459"/>
      <c r="W260" s="459"/>
      <c r="X260" s="459"/>
      <c r="Y260" s="459"/>
      <c r="Z260" s="459"/>
      <c r="AA260" s="459"/>
      <c r="AB260" s="459"/>
      <c r="AC260" s="459"/>
      <c r="AD260" s="459"/>
      <c r="AE260" s="459"/>
      <c r="AF260" s="459"/>
      <c r="AG260" s="459"/>
      <c r="AH260" s="459"/>
      <c r="AI260" s="459"/>
      <c r="AJ260" s="459"/>
      <c r="AK260" s="459"/>
      <c r="AL260" s="459"/>
      <c r="AM260" s="459"/>
      <c r="AN260" s="459"/>
      <c r="AO260" s="459"/>
      <c r="AP260" s="459"/>
      <c r="AQ260" s="459"/>
      <c r="AR260" s="459"/>
      <c r="AS260" s="459"/>
      <c r="AT260" s="459"/>
      <c r="AU260" s="459"/>
      <c r="AV260" s="459"/>
      <c r="AW260" s="459"/>
      <c r="AX260" s="459"/>
      <c r="AY260" s="459"/>
      <c r="AZ260" s="459"/>
      <c r="BA260" s="459"/>
      <c r="BB260" s="459"/>
      <c r="BC260" s="459"/>
      <c r="BD260" s="459"/>
      <c r="BE260" s="459"/>
      <c r="BF260" s="459"/>
      <c r="BG260" s="459"/>
      <c r="BH260" s="459"/>
      <c r="BI260" s="459"/>
      <c r="BJ260" s="459"/>
      <c r="BK260" s="459"/>
      <c r="BL260" s="459"/>
      <c r="BM260" s="459"/>
      <c r="BN260" s="459"/>
      <c r="BO260" s="459"/>
      <c r="BP260" s="459"/>
      <c r="BQ260" s="459"/>
      <c r="BR260" s="459"/>
      <c r="BS260" s="459"/>
      <c r="BT260" s="459"/>
      <c r="BU260" s="459"/>
      <c r="BV260" s="459"/>
      <c r="BW260" s="459"/>
      <c r="BX260" s="459"/>
      <c r="BY260" s="459"/>
      <c r="BZ260" s="459"/>
      <c r="CA260" s="459"/>
      <c r="CB260" s="459"/>
      <c r="CC260" s="459"/>
    </row>
    <row r="261" spans="1:81" s="467" customFormat="1" x14ac:dyDescent="0.2">
      <c r="A261" s="472"/>
      <c r="C261" s="473"/>
      <c r="G261" s="474"/>
      <c r="H261" s="473"/>
      <c r="P261" s="459"/>
      <c r="Q261" s="459"/>
      <c r="R261" s="459"/>
      <c r="S261" s="459"/>
      <c r="T261" s="459"/>
      <c r="U261" s="459"/>
      <c r="V261" s="459"/>
      <c r="W261" s="459"/>
      <c r="X261" s="459"/>
      <c r="Y261" s="459"/>
      <c r="Z261" s="459"/>
      <c r="AA261" s="459"/>
      <c r="AB261" s="459"/>
      <c r="AC261" s="459"/>
      <c r="AD261" s="459"/>
      <c r="AE261" s="459"/>
      <c r="AF261" s="459"/>
      <c r="AG261" s="459"/>
      <c r="AH261" s="459"/>
      <c r="AI261" s="459"/>
      <c r="AJ261" s="459"/>
      <c r="AK261" s="459"/>
      <c r="AL261" s="459"/>
      <c r="AM261" s="459"/>
      <c r="AN261" s="459"/>
      <c r="AO261" s="459"/>
      <c r="AP261" s="459"/>
      <c r="AQ261" s="459"/>
      <c r="AR261" s="459"/>
      <c r="AS261" s="459"/>
      <c r="AT261" s="459"/>
      <c r="AU261" s="459"/>
      <c r="AV261" s="459"/>
      <c r="AW261" s="459"/>
      <c r="AX261" s="459"/>
      <c r="AY261" s="459"/>
      <c r="AZ261" s="459"/>
      <c r="BA261" s="459"/>
      <c r="BB261" s="459"/>
      <c r="BC261" s="459"/>
      <c r="BD261" s="459"/>
      <c r="BE261" s="459"/>
      <c r="BF261" s="459"/>
      <c r="BG261" s="459"/>
      <c r="BH261" s="459"/>
      <c r="BI261" s="459"/>
      <c r="BJ261" s="459"/>
      <c r="BK261" s="459"/>
      <c r="BL261" s="459"/>
      <c r="BM261" s="459"/>
      <c r="BN261" s="459"/>
      <c r="BO261" s="459"/>
      <c r="BP261" s="459"/>
      <c r="BQ261" s="459"/>
      <c r="BR261" s="459"/>
      <c r="BS261" s="459"/>
      <c r="BT261" s="459"/>
      <c r="BU261" s="459"/>
      <c r="BV261" s="459"/>
      <c r="BW261" s="459"/>
      <c r="BX261" s="459"/>
      <c r="BY261" s="459"/>
      <c r="BZ261" s="459"/>
      <c r="CA261" s="459"/>
      <c r="CB261" s="459"/>
      <c r="CC261" s="459"/>
    </row>
    <row r="262" spans="1:81" s="467" customFormat="1" x14ac:dyDescent="0.2">
      <c r="A262" s="472"/>
      <c r="C262" s="473"/>
      <c r="G262" s="474"/>
      <c r="H262" s="473"/>
      <c r="P262" s="459"/>
      <c r="Q262" s="459"/>
      <c r="R262" s="459"/>
      <c r="S262" s="459"/>
      <c r="T262" s="459"/>
      <c r="U262" s="459"/>
      <c r="V262" s="459"/>
      <c r="W262" s="459"/>
      <c r="X262" s="459"/>
      <c r="Y262" s="459"/>
      <c r="Z262" s="459"/>
      <c r="AA262" s="459"/>
      <c r="AB262" s="459"/>
      <c r="AC262" s="459"/>
      <c r="AD262" s="459"/>
      <c r="AE262" s="459"/>
      <c r="AF262" s="459"/>
      <c r="AG262" s="459"/>
      <c r="AH262" s="459"/>
      <c r="AI262" s="459"/>
      <c r="AJ262" s="459"/>
      <c r="AK262" s="459"/>
      <c r="AL262" s="459"/>
      <c r="AM262" s="459"/>
      <c r="AN262" s="459"/>
      <c r="AO262" s="459"/>
      <c r="AP262" s="459"/>
      <c r="AQ262" s="459"/>
      <c r="AR262" s="459"/>
      <c r="AS262" s="459"/>
      <c r="AT262" s="459"/>
      <c r="AU262" s="459"/>
      <c r="AV262" s="459"/>
      <c r="AW262" s="459"/>
      <c r="AX262" s="459"/>
      <c r="AY262" s="459"/>
      <c r="AZ262" s="459"/>
      <c r="BA262" s="459"/>
      <c r="BB262" s="459"/>
      <c r="BC262" s="459"/>
      <c r="BD262" s="459"/>
      <c r="BE262" s="459"/>
      <c r="BF262" s="459"/>
      <c r="BG262" s="459"/>
      <c r="BH262" s="459"/>
      <c r="BI262" s="459"/>
      <c r="BJ262" s="459"/>
      <c r="BK262" s="459"/>
      <c r="BL262" s="459"/>
      <c r="BM262" s="459"/>
      <c r="BN262" s="459"/>
      <c r="BO262" s="459"/>
      <c r="BP262" s="459"/>
      <c r="BQ262" s="459"/>
      <c r="BR262" s="459"/>
      <c r="BS262" s="459"/>
      <c r="BT262" s="459"/>
      <c r="BU262" s="459"/>
      <c r="BV262" s="459"/>
      <c r="BW262" s="459"/>
      <c r="BX262" s="459"/>
      <c r="BY262" s="459"/>
      <c r="BZ262" s="459"/>
      <c r="CA262" s="459"/>
      <c r="CB262" s="459"/>
      <c r="CC262" s="459"/>
    </row>
    <row r="263" spans="1:81" s="467" customFormat="1" x14ac:dyDescent="0.2">
      <c r="A263" s="472"/>
      <c r="C263" s="473"/>
      <c r="G263" s="474"/>
      <c r="H263" s="473"/>
      <c r="P263" s="459"/>
      <c r="Q263" s="459"/>
      <c r="R263" s="459"/>
      <c r="S263" s="459"/>
      <c r="T263" s="459"/>
      <c r="U263" s="459"/>
      <c r="V263" s="459"/>
      <c r="W263" s="459"/>
      <c r="X263" s="459"/>
      <c r="Y263" s="459"/>
      <c r="Z263" s="459"/>
      <c r="AA263" s="459"/>
      <c r="AB263" s="459"/>
      <c r="AC263" s="459"/>
      <c r="AD263" s="459"/>
      <c r="AE263" s="459"/>
      <c r="AF263" s="459"/>
      <c r="AG263" s="459"/>
      <c r="AH263" s="459"/>
      <c r="AI263" s="459"/>
      <c r="AJ263" s="459"/>
      <c r="AK263" s="459"/>
      <c r="AL263" s="459"/>
      <c r="AM263" s="459"/>
      <c r="AN263" s="459"/>
      <c r="AO263" s="459"/>
      <c r="AP263" s="459"/>
      <c r="AQ263" s="459"/>
      <c r="AR263" s="459"/>
      <c r="AS263" s="459"/>
      <c r="AT263" s="459"/>
      <c r="AU263" s="459"/>
      <c r="AV263" s="459"/>
      <c r="AW263" s="459"/>
      <c r="AX263" s="459"/>
      <c r="AY263" s="459"/>
      <c r="AZ263" s="459"/>
      <c r="BA263" s="459"/>
      <c r="BB263" s="459"/>
      <c r="BC263" s="459"/>
      <c r="BD263" s="459"/>
      <c r="BE263" s="459"/>
      <c r="BF263" s="459"/>
      <c r="BG263" s="459"/>
      <c r="BH263" s="459"/>
      <c r="BI263" s="459"/>
      <c r="BJ263" s="459"/>
      <c r="BK263" s="459"/>
      <c r="BL263" s="459"/>
      <c r="BM263" s="459"/>
      <c r="BN263" s="459"/>
      <c r="BO263" s="459"/>
      <c r="BP263" s="459"/>
      <c r="BQ263" s="459"/>
      <c r="BR263" s="459"/>
      <c r="BS263" s="459"/>
      <c r="BT263" s="459"/>
      <c r="BU263" s="459"/>
      <c r="BV263" s="459"/>
      <c r="BW263" s="459"/>
      <c r="BX263" s="459"/>
      <c r="BY263" s="459"/>
      <c r="BZ263" s="459"/>
      <c r="CA263" s="459"/>
      <c r="CB263" s="459"/>
      <c r="CC263" s="459"/>
    </row>
    <row r="264" spans="1:81" s="467" customFormat="1" x14ac:dyDescent="0.2">
      <c r="A264" s="472"/>
      <c r="C264" s="473"/>
      <c r="G264" s="474"/>
      <c r="H264" s="473"/>
      <c r="P264" s="459"/>
      <c r="Q264" s="459"/>
      <c r="R264" s="459"/>
      <c r="S264" s="459"/>
      <c r="T264" s="459"/>
      <c r="U264" s="459"/>
      <c r="V264" s="459"/>
      <c r="W264" s="459"/>
      <c r="X264" s="459"/>
      <c r="Y264" s="459"/>
      <c r="Z264" s="459"/>
      <c r="AA264" s="459"/>
      <c r="AB264" s="459"/>
      <c r="AC264" s="459"/>
      <c r="AD264" s="459"/>
      <c r="AE264" s="459"/>
      <c r="AF264" s="459"/>
      <c r="AG264" s="459"/>
      <c r="AH264" s="459"/>
      <c r="AI264" s="459"/>
      <c r="AJ264" s="459"/>
      <c r="AK264" s="459"/>
      <c r="AL264" s="459"/>
      <c r="AM264" s="459"/>
      <c r="AN264" s="459"/>
      <c r="AO264" s="459"/>
      <c r="AP264" s="459"/>
      <c r="AQ264" s="459"/>
      <c r="AR264" s="459"/>
      <c r="AS264" s="459"/>
      <c r="AT264" s="459"/>
      <c r="AU264" s="459"/>
      <c r="AV264" s="459"/>
      <c r="AW264" s="459"/>
      <c r="AX264" s="459"/>
      <c r="AY264" s="459"/>
      <c r="AZ264" s="459"/>
      <c r="BA264" s="459"/>
      <c r="BB264" s="459"/>
      <c r="BC264" s="459"/>
      <c r="BD264" s="459"/>
      <c r="BE264" s="459"/>
      <c r="BF264" s="459"/>
      <c r="BG264" s="459"/>
      <c r="BH264" s="459"/>
      <c r="BI264" s="459"/>
      <c r="BJ264" s="459"/>
      <c r="BK264" s="459"/>
      <c r="BL264" s="459"/>
      <c r="BM264" s="459"/>
      <c r="BN264" s="459"/>
      <c r="BO264" s="459"/>
      <c r="BP264" s="459"/>
      <c r="BQ264" s="459"/>
      <c r="BR264" s="459"/>
      <c r="BS264" s="459"/>
      <c r="BT264" s="459"/>
      <c r="BU264" s="459"/>
      <c r="BV264" s="459"/>
      <c r="BW264" s="459"/>
      <c r="BX264" s="459"/>
      <c r="BY264" s="459"/>
      <c r="BZ264" s="459"/>
      <c r="CA264" s="459"/>
      <c r="CB264" s="459"/>
      <c r="CC264" s="459"/>
    </row>
    <row r="265" spans="1:81" s="467" customFormat="1" x14ac:dyDescent="0.2">
      <c r="A265" s="472"/>
      <c r="C265" s="473"/>
      <c r="G265" s="474"/>
      <c r="H265" s="473"/>
      <c r="P265" s="459"/>
      <c r="Q265" s="459"/>
      <c r="R265" s="459"/>
      <c r="S265" s="459"/>
      <c r="T265" s="459"/>
      <c r="U265" s="459"/>
      <c r="V265" s="459"/>
      <c r="W265" s="459"/>
      <c r="X265" s="459"/>
      <c r="Y265" s="459"/>
      <c r="Z265" s="459"/>
      <c r="AA265" s="459"/>
      <c r="AB265" s="459"/>
      <c r="AC265" s="459"/>
      <c r="AD265" s="459"/>
      <c r="AE265" s="459"/>
      <c r="AF265" s="459"/>
      <c r="AG265" s="459"/>
      <c r="AH265" s="459"/>
      <c r="AI265" s="459"/>
      <c r="AJ265" s="459"/>
      <c r="AK265" s="459"/>
      <c r="AL265" s="459"/>
      <c r="AM265" s="459"/>
      <c r="AN265" s="459"/>
      <c r="AO265" s="459"/>
      <c r="AP265" s="459"/>
      <c r="AQ265" s="459"/>
      <c r="AR265" s="459"/>
      <c r="AS265" s="459"/>
      <c r="AT265" s="459"/>
      <c r="AU265" s="459"/>
      <c r="AV265" s="459"/>
      <c r="AW265" s="459"/>
      <c r="AX265" s="459"/>
      <c r="AY265" s="459"/>
      <c r="AZ265" s="459"/>
      <c r="BA265" s="459"/>
      <c r="BB265" s="459"/>
      <c r="BC265" s="459"/>
      <c r="BD265" s="459"/>
      <c r="BE265" s="459"/>
      <c r="BF265" s="459"/>
      <c r="BG265" s="459"/>
      <c r="BH265" s="459"/>
      <c r="BI265" s="459"/>
      <c r="BJ265" s="459"/>
      <c r="BK265" s="459"/>
      <c r="BL265" s="459"/>
      <c r="BM265" s="459"/>
      <c r="BN265" s="459"/>
      <c r="BO265" s="459"/>
      <c r="BP265" s="459"/>
      <c r="BQ265" s="459"/>
      <c r="BR265" s="459"/>
      <c r="BS265" s="459"/>
      <c r="BT265" s="459"/>
      <c r="BU265" s="459"/>
      <c r="BV265" s="459"/>
      <c r="BW265" s="459"/>
      <c r="BX265" s="459"/>
      <c r="BY265" s="459"/>
      <c r="BZ265" s="459"/>
      <c r="CA265" s="459"/>
      <c r="CB265" s="459"/>
      <c r="CC265" s="459"/>
    </row>
    <row r="266" spans="1:81" s="467" customFormat="1" x14ac:dyDescent="0.2">
      <c r="A266" s="472"/>
      <c r="C266" s="473"/>
      <c r="G266" s="474"/>
      <c r="H266" s="473"/>
      <c r="P266" s="459"/>
      <c r="Q266" s="459"/>
      <c r="R266" s="459"/>
      <c r="S266" s="459"/>
      <c r="T266" s="459"/>
      <c r="U266" s="459"/>
      <c r="V266" s="459"/>
      <c r="W266" s="459"/>
      <c r="X266" s="459"/>
      <c r="Y266" s="459"/>
      <c r="Z266" s="459"/>
      <c r="AA266" s="459"/>
      <c r="AB266" s="459"/>
      <c r="AC266" s="459"/>
      <c r="AD266" s="459"/>
      <c r="AE266" s="459"/>
      <c r="AF266" s="459"/>
      <c r="AG266" s="459"/>
      <c r="AH266" s="459"/>
      <c r="AI266" s="459"/>
      <c r="AJ266" s="459"/>
      <c r="AK266" s="459"/>
      <c r="AL266" s="459"/>
      <c r="AM266" s="459"/>
      <c r="AN266" s="459"/>
      <c r="AO266" s="459"/>
      <c r="AP266" s="459"/>
      <c r="AQ266" s="459"/>
      <c r="AR266" s="459"/>
      <c r="AS266" s="459"/>
      <c r="AT266" s="459"/>
      <c r="AU266" s="459"/>
      <c r="AV266" s="459"/>
      <c r="AW266" s="459"/>
      <c r="AX266" s="459"/>
      <c r="AY266" s="459"/>
      <c r="AZ266" s="459"/>
      <c r="BA266" s="459"/>
      <c r="BB266" s="459"/>
      <c r="BC266" s="459"/>
      <c r="BD266" s="459"/>
      <c r="BE266" s="459"/>
      <c r="BF266" s="459"/>
      <c r="BG266" s="459"/>
      <c r="BH266" s="459"/>
      <c r="BI266" s="459"/>
      <c r="BJ266" s="459"/>
      <c r="BK266" s="459"/>
      <c r="BL266" s="459"/>
      <c r="BM266" s="459"/>
      <c r="BN266" s="459"/>
      <c r="BO266" s="459"/>
      <c r="BP266" s="459"/>
      <c r="BQ266" s="459"/>
      <c r="BR266" s="459"/>
      <c r="BS266" s="459"/>
      <c r="BT266" s="459"/>
      <c r="BU266" s="459"/>
      <c r="BV266" s="459"/>
      <c r="BW266" s="459"/>
      <c r="BX266" s="459"/>
      <c r="BY266" s="459"/>
      <c r="BZ266" s="459"/>
      <c r="CA266" s="459"/>
      <c r="CB266" s="459"/>
      <c r="CC266" s="459"/>
    </row>
    <row r="267" spans="1:81" s="467" customFormat="1" x14ac:dyDescent="0.2">
      <c r="A267" s="472"/>
      <c r="C267" s="473"/>
      <c r="G267" s="474"/>
      <c r="H267" s="473"/>
      <c r="P267" s="459"/>
      <c r="Q267" s="459"/>
      <c r="R267" s="459"/>
      <c r="S267" s="459"/>
      <c r="T267" s="459"/>
      <c r="U267" s="459"/>
      <c r="V267" s="459"/>
      <c r="W267" s="459"/>
      <c r="X267" s="459"/>
      <c r="Y267" s="459"/>
      <c r="Z267" s="459"/>
      <c r="AA267" s="459"/>
      <c r="AB267" s="459"/>
      <c r="AC267" s="459"/>
      <c r="AD267" s="459"/>
      <c r="AE267" s="459"/>
      <c r="AF267" s="459"/>
      <c r="AG267" s="459"/>
      <c r="AH267" s="459"/>
      <c r="AI267" s="459"/>
      <c r="AJ267" s="459"/>
      <c r="AK267" s="459"/>
      <c r="AL267" s="459"/>
      <c r="AM267" s="459"/>
      <c r="AN267" s="459"/>
      <c r="AO267" s="459"/>
      <c r="AP267" s="459"/>
      <c r="AQ267" s="459"/>
      <c r="AR267" s="459"/>
      <c r="AS267" s="459"/>
      <c r="AT267" s="459"/>
      <c r="AU267" s="459"/>
      <c r="AV267" s="459"/>
      <c r="AW267" s="459"/>
      <c r="AX267" s="459"/>
      <c r="AY267" s="459"/>
      <c r="AZ267" s="459"/>
      <c r="BA267" s="459"/>
      <c r="BB267" s="459"/>
      <c r="BC267" s="459"/>
      <c r="BD267" s="459"/>
      <c r="BE267" s="459"/>
      <c r="BF267" s="459"/>
      <c r="BG267" s="459"/>
      <c r="BH267" s="459"/>
      <c r="BI267" s="459"/>
      <c r="BJ267" s="459"/>
      <c r="BK267" s="459"/>
      <c r="BL267" s="459"/>
      <c r="BM267" s="459"/>
      <c r="BN267" s="459"/>
      <c r="BO267" s="459"/>
      <c r="BP267" s="459"/>
      <c r="BQ267" s="459"/>
      <c r="BR267" s="459"/>
      <c r="BS267" s="459"/>
      <c r="BT267" s="459"/>
      <c r="BU267" s="459"/>
      <c r="BV267" s="459"/>
      <c r="BW267" s="459"/>
      <c r="BX267" s="459"/>
      <c r="BY267" s="459"/>
      <c r="BZ267" s="459"/>
      <c r="CA267" s="459"/>
      <c r="CB267" s="459"/>
      <c r="CC267" s="459"/>
    </row>
    <row r="268" spans="1:81" s="467" customFormat="1" x14ac:dyDescent="0.2">
      <c r="A268" s="472"/>
      <c r="C268" s="473"/>
      <c r="G268" s="474"/>
      <c r="H268" s="473"/>
      <c r="P268" s="459"/>
      <c r="Q268" s="459"/>
      <c r="R268" s="459"/>
      <c r="S268" s="459"/>
      <c r="T268" s="459"/>
      <c r="U268" s="459"/>
      <c r="V268" s="459"/>
      <c r="W268" s="459"/>
      <c r="X268" s="459"/>
      <c r="Y268" s="459"/>
      <c r="Z268" s="459"/>
      <c r="AA268" s="459"/>
      <c r="AB268" s="459"/>
      <c r="AC268" s="459"/>
      <c r="AD268" s="459"/>
      <c r="AE268" s="459"/>
      <c r="AF268" s="459"/>
      <c r="AG268" s="459"/>
      <c r="AH268" s="459"/>
      <c r="AI268" s="459"/>
      <c r="AJ268" s="459"/>
      <c r="AK268" s="459"/>
      <c r="AL268" s="459"/>
      <c r="AM268" s="459"/>
      <c r="AN268" s="459"/>
      <c r="AO268" s="459"/>
      <c r="AP268" s="459"/>
      <c r="AQ268" s="459"/>
      <c r="AR268" s="459"/>
      <c r="AS268" s="459"/>
      <c r="AT268" s="459"/>
      <c r="AU268" s="459"/>
      <c r="AV268" s="459"/>
      <c r="AW268" s="459"/>
      <c r="AX268" s="459"/>
      <c r="AY268" s="459"/>
      <c r="AZ268" s="459"/>
      <c r="BA268" s="459"/>
      <c r="BB268" s="459"/>
      <c r="BC268" s="459"/>
      <c r="BD268" s="459"/>
      <c r="BE268" s="459"/>
      <c r="BF268" s="459"/>
      <c r="BG268" s="459"/>
      <c r="BH268" s="459"/>
      <c r="BI268" s="459"/>
      <c r="BJ268" s="459"/>
      <c r="BK268" s="459"/>
      <c r="BL268" s="459"/>
      <c r="BM268" s="459"/>
      <c r="BN268" s="459"/>
      <c r="BO268" s="459"/>
      <c r="BP268" s="459"/>
      <c r="BQ268" s="459"/>
      <c r="BR268" s="459"/>
      <c r="BS268" s="459"/>
      <c r="BT268" s="459"/>
      <c r="BU268" s="459"/>
      <c r="BV268" s="459"/>
      <c r="BW268" s="459"/>
      <c r="BX268" s="459"/>
      <c r="BY268" s="459"/>
      <c r="BZ268" s="459"/>
      <c r="CA268" s="459"/>
      <c r="CB268" s="459"/>
      <c r="CC268" s="459"/>
    </row>
    <row r="269" spans="1:81" s="467" customFormat="1" x14ac:dyDescent="0.2">
      <c r="A269" s="472"/>
      <c r="C269" s="473"/>
      <c r="G269" s="474"/>
      <c r="H269" s="473"/>
      <c r="P269" s="459"/>
      <c r="Q269" s="459"/>
      <c r="R269" s="459"/>
      <c r="S269" s="459"/>
      <c r="T269" s="459"/>
      <c r="U269" s="459"/>
      <c r="V269" s="459"/>
      <c r="W269" s="459"/>
      <c r="X269" s="459"/>
      <c r="Y269" s="459"/>
      <c r="Z269" s="459"/>
      <c r="AA269" s="459"/>
      <c r="AB269" s="459"/>
      <c r="AC269" s="459"/>
      <c r="AD269" s="459"/>
      <c r="AE269" s="459"/>
      <c r="AF269" s="459"/>
      <c r="AG269" s="459"/>
      <c r="AH269" s="459"/>
      <c r="AI269" s="459"/>
      <c r="AJ269" s="459"/>
      <c r="AK269" s="459"/>
      <c r="AL269" s="459"/>
      <c r="AM269" s="459"/>
      <c r="AN269" s="459"/>
      <c r="AO269" s="459"/>
      <c r="AP269" s="459"/>
      <c r="AQ269" s="459"/>
      <c r="AR269" s="459"/>
      <c r="AS269" s="459"/>
      <c r="AT269" s="459"/>
      <c r="AU269" s="459"/>
      <c r="AV269" s="459"/>
      <c r="AW269" s="459"/>
      <c r="AX269" s="459"/>
      <c r="AY269" s="459"/>
      <c r="AZ269" s="459"/>
      <c r="BA269" s="459"/>
      <c r="BB269" s="459"/>
      <c r="BC269" s="459"/>
      <c r="BD269" s="459"/>
      <c r="BE269" s="459"/>
      <c r="BF269" s="459"/>
      <c r="BG269" s="459"/>
      <c r="BH269" s="459"/>
      <c r="BI269" s="459"/>
      <c r="BJ269" s="459"/>
      <c r="BK269" s="459"/>
      <c r="BL269" s="459"/>
      <c r="BM269" s="459"/>
      <c r="BN269" s="459"/>
      <c r="BO269" s="459"/>
      <c r="BP269" s="459"/>
      <c r="BQ269" s="459"/>
      <c r="BR269" s="459"/>
      <c r="BS269" s="459"/>
      <c r="BT269" s="459"/>
      <c r="BU269" s="459"/>
      <c r="BV269" s="459"/>
      <c r="BW269" s="459"/>
      <c r="BX269" s="459"/>
      <c r="BY269" s="459"/>
      <c r="BZ269" s="459"/>
      <c r="CA269" s="459"/>
      <c r="CB269" s="459"/>
      <c r="CC269" s="459"/>
    </row>
    <row r="270" spans="1:81" s="467" customFormat="1" x14ac:dyDescent="0.2">
      <c r="A270" s="472"/>
      <c r="C270" s="473"/>
      <c r="G270" s="474"/>
      <c r="H270" s="473"/>
      <c r="P270" s="459"/>
      <c r="Q270" s="459"/>
      <c r="R270" s="459"/>
      <c r="S270" s="459"/>
      <c r="T270" s="459"/>
      <c r="U270" s="459"/>
      <c r="V270" s="459"/>
      <c r="W270" s="459"/>
      <c r="X270" s="459"/>
      <c r="Y270" s="459"/>
      <c r="Z270" s="459"/>
      <c r="AA270" s="459"/>
      <c r="AB270" s="459"/>
      <c r="AC270" s="459"/>
      <c r="AD270" s="459"/>
      <c r="AE270" s="459"/>
      <c r="AF270" s="459"/>
      <c r="AG270" s="459"/>
      <c r="AH270" s="459"/>
      <c r="AI270" s="459"/>
      <c r="AJ270" s="459"/>
      <c r="AK270" s="459"/>
      <c r="AL270" s="459"/>
      <c r="AM270" s="459"/>
      <c r="AN270" s="459"/>
      <c r="AO270" s="459"/>
      <c r="AP270" s="459"/>
      <c r="AQ270" s="459"/>
      <c r="AR270" s="459"/>
      <c r="AS270" s="459"/>
      <c r="AT270" s="459"/>
      <c r="AU270" s="459"/>
      <c r="AV270" s="459"/>
      <c r="AW270" s="459"/>
      <c r="AX270" s="459"/>
      <c r="AY270" s="459"/>
      <c r="AZ270" s="459"/>
      <c r="BA270" s="459"/>
      <c r="BB270" s="459"/>
      <c r="BC270" s="459"/>
      <c r="BD270" s="459"/>
      <c r="BE270" s="459"/>
      <c r="BF270" s="459"/>
      <c r="BG270" s="459"/>
      <c r="BH270" s="459"/>
      <c r="BI270" s="459"/>
      <c r="BJ270" s="459"/>
      <c r="BK270" s="459"/>
      <c r="BL270" s="459"/>
      <c r="BM270" s="459"/>
      <c r="BN270" s="459"/>
      <c r="BO270" s="459"/>
      <c r="BP270" s="459"/>
      <c r="BQ270" s="459"/>
      <c r="BR270" s="459"/>
      <c r="BS270" s="459"/>
      <c r="BT270" s="459"/>
      <c r="BU270" s="459"/>
      <c r="BV270" s="459"/>
      <c r="BW270" s="459"/>
      <c r="BX270" s="459"/>
      <c r="BY270" s="459"/>
      <c r="BZ270" s="459"/>
      <c r="CA270" s="459"/>
      <c r="CB270" s="459"/>
      <c r="CC270" s="459"/>
    </row>
    <row r="271" spans="1:81" s="467" customFormat="1" x14ac:dyDescent="0.2">
      <c r="A271" s="472"/>
      <c r="C271" s="473"/>
      <c r="G271" s="474"/>
      <c r="H271" s="473"/>
      <c r="P271" s="459"/>
      <c r="Q271" s="459"/>
      <c r="R271" s="459"/>
      <c r="S271" s="459"/>
      <c r="T271" s="459"/>
      <c r="U271" s="459"/>
      <c r="V271" s="459"/>
      <c r="W271" s="459"/>
      <c r="X271" s="459"/>
      <c r="Y271" s="459"/>
      <c r="Z271" s="459"/>
      <c r="AA271" s="459"/>
      <c r="AB271" s="459"/>
      <c r="AC271" s="459"/>
      <c r="AD271" s="459"/>
      <c r="AE271" s="459"/>
      <c r="AF271" s="459"/>
      <c r="AG271" s="459"/>
      <c r="AH271" s="459"/>
      <c r="AI271" s="459"/>
      <c r="AJ271" s="459"/>
      <c r="AK271" s="459"/>
      <c r="AL271" s="459"/>
      <c r="AM271" s="459"/>
      <c r="AN271" s="459"/>
      <c r="AO271" s="459"/>
      <c r="AP271" s="459"/>
      <c r="AQ271" s="459"/>
      <c r="AR271" s="459"/>
      <c r="AS271" s="459"/>
      <c r="AT271" s="459"/>
      <c r="AU271" s="459"/>
      <c r="AV271" s="459"/>
      <c r="AW271" s="459"/>
      <c r="AX271" s="459"/>
      <c r="AY271" s="459"/>
      <c r="AZ271" s="459"/>
      <c r="BA271" s="459"/>
      <c r="BB271" s="459"/>
      <c r="BC271" s="459"/>
      <c r="BD271" s="459"/>
      <c r="BE271" s="459"/>
      <c r="BF271" s="459"/>
      <c r="BG271" s="459"/>
      <c r="BH271" s="459"/>
      <c r="BI271" s="459"/>
      <c r="BJ271" s="459"/>
      <c r="BK271" s="459"/>
      <c r="BL271" s="459"/>
      <c r="BM271" s="459"/>
      <c r="BN271" s="459"/>
      <c r="BO271" s="459"/>
      <c r="BP271" s="459"/>
      <c r="BQ271" s="459"/>
      <c r="BR271" s="459"/>
      <c r="BS271" s="459"/>
      <c r="BT271" s="459"/>
      <c r="BU271" s="459"/>
      <c r="BV271" s="459"/>
      <c r="BW271" s="459"/>
      <c r="BX271" s="459"/>
      <c r="BY271" s="459"/>
      <c r="BZ271" s="459"/>
      <c r="CA271" s="459"/>
      <c r="CB271" s="459"/>
      <c r="CC271" s="459"/>
    </row>
    <row r="272" spans="1:81" s="467" customFormat="1" x14ac:dyDescent="0.2">
      <c r="A272" s="472"/>
      <c r="C272" s="473"/>
      <c r="G272" s="474"/>
      <c r="H272" s="473"/>
      <c r="P272" s="459"/>
      <c r="Q272" s="459"/>
      <c r="R272" s="459"/>
      <c r="S272" s="459"/>
      <c r="T272" s="459"/>
      <c r="U272" s="459"/>
      <c r="V272" s="459"/>
      <c r="W272" s="459"/>
      <c r="X272" s="459"/>
      <c r="Y272" s="459"/>
      <c r="Z272" s="459"/>
      <c r="AA272" s="459"/>
      <c r="AB272" s="459"/>
      <c r="AC272" s="459"/>
      <c r="AD272" s="459"/>
      <c r="AE272" s="459"/>
      <c r="AF272" s="459"/>
      <c r="AG272" s="459"/>
      <c r="AH272" s="459"/>
      <c r="AI272" s="459"/>
      <c r="AJ272" s="459"/>
      <c r="AK272" s="459"/>
      <c r="AL272" s="459"/>
      <c r="AM272" s="459"/>
      <c r="AN272" s="459"/>
      <c r="AO272" s="459"/>
      <c r="AP272" s="459"/>
      <c r="AQ272" s="459"/>
      <c r="AR272" s="459"/>
      <c r="AS272" s="459"/>
      <c r="AT272" s="459"/>
      <c r="AU272" s="459"/>
      <c r="AV272" s="459"/>
      <c r="AW272" s="459"/>
      <c r="AX272" s="459"/>
      <c r="AY272" s="459"/>
      <c r="AZ272" s="459"/>
      <c r="BA272" s="459"/>
      <c r="BB272" s="459"/>
      <c r="BC272" s="459"/>
      <c r="BD272" s="459"/>
      <c r="BE272" s="459"/>
      <c r="BF272" s="459"/>
      <c r="BG272" s="459"/>
      <c r="BH272" s="459"/>
      <c r="BI272" s="459"/>
      <c r="BJ272" s="459"/>
      <c r="BK272" s="459"/>
      <c r="BL272" s="459"/>
      <c r="BM272" s="459"/>
      <c r="BN272" s="459"/>
      <c r="BO272" s="459"/>
      <c r="BP272" s="459"/>
      <c r="BQ272" s="459"/>
      <c r="BR272" s="459"/>
      <c r="BS272" s="459"/>
      <c r="BT272" s="459"/>
      <c r="BU272" s="459"/>
      <c r="BV272" s="459"/>
      <c r="BW272" s="459"/>
      <c r="BX272" s="459"/>
      <c r="BY272" s="459"/>
      <c r="BZ272" s="459"/>
      <c r="CA272" s="459"/>
      <c r="CB272" s="459"/>
      <c r="CC272" s="459"/>
    </row>
    <row r="273" spans="1:81" s="467" customFormat="1" x14ac:dyDescent="0.2">
      <c r="A273" s="472"/>
      <c r="C273" s="473"/>
      <c r="G273" s="474"/>
      <c r="H273" s="473"/>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59"/>
      <c r="BQ273" s="459"/>
      <c r="BR273" s="459"/>
      <c r="BS273" s="459"/>
      <c r="BT273" s="459"/>
      <c r="BU273" s="459"/>
      <c r="BV273" s="459"/>
      <c r="BW273" s="459"/>
      <c r="BX273" s="459"/>
      <c r="BY273" s="459"/>
      <c r="BZ273" s="459"/>
      <c r="CA273" s="459"/>
      <c r="CB273" s="459"/>
      <c r="CC273" s="459"/>
    </row>
    <row r="274" spans="1:81" s="467" customFormat="1" x14ac:dyDescent="0.2">
      <c r="A274" s="472"/>
      <c r="C274" s="473"/>
      <c r="G274" s="474"/>
      <c r="H274" s="473"/>
      <c r="P274" s="459"/>
      <c r="Q274" s="459"/>
      <c r="R274" s="459"/>
      <c r="S274" s="459"/>
      <c r="T274" s="459"/>
      <c r="U274" s="459"/>
      <c r="V274" s="459"/>
      <c r="W274" s="459"/>
      <c r="X274" s="459"/>
      <c r="Y274" s="459"/>
      <c r="Z274" s="459"/>
      <c r="AA274" s="459"/>
      <c r="AB274" s="459"/>
      <c r="AC274" s="459"/>
      <c r="AD274" s="459"/>
      <c r="AE274" s="459"/>
      <c r="AF274" s="459"/>
      <c r="AG274" s="459"/>
      <c r="AH274" s="459"/>
      <c r="AI274" s="459"/>
      <c r="AJ274" s="459"/>
      <c r="AK274" s="459"/>
      <c r="AL274" s="459"/>
      <c r="AM274" s="459"/>
      <c r="AN274" s="459"/>
      <c r="AO274" s="459"/>
      <c r="AP274" s="459"/>
      <c r="AQ274" s="459"/>
      <c r="AR274" s="459"/>
      <c r="AS274" s="459"/>
      <c r="AT274" s="459"/>
      <c r="AU274" s="459"/>
      <c r="AV274" s="459"/>
      <c r="AW274" s="459"/>
      <c r="AX274" s="459"/>
      <c r="AY274" s="459"/>
      <c r="AZ274" s="459"/>
      <c r="BA274" s="459"/>
      <c r="BB274" s="459"/>
      <c r="BC274" s="459"/>
      <c r="BD274" s="459"/>
      <c r="BE274" s="459"/>
      <c r="BF274" s="459"/>
      <c r="BG274" s="459"/>
      <c r="BH274" s="459"/>
      <c r="BI274" s="459"/>
      <c r="BJ274" s="459"/>
      <c r="BK274" s="459"/>
      <c r="BL274" s="459"/>
      <c r="BM274" s="459"/>
      <c r="BN274" s="459"/>
      <c r="BO274" s="459"/>
      <c r="BP274" s="459"/>
      <c r="BQ274" s="459"/>
      <c r="BR274" s="459"/>
      <c r="BS274" s="459"/>
      <c r="BT274" s="459"/>
      <c r="BU274" s="459"/>
      <c r="BV274" s="459"/>
      <c r="BW274" s="459"/>
      <c r="BX274" s="459"/>
      <c r="BY274" s="459"/>
      <c r="BZ274" s="459"/>
      <c r="CA274" s="459"/>
      <c r="CB274" s="459"/>
      <c r="CC274" s="459"/>
    </row>
    <row r="275" spans="1:81" s="467" customFormat="1" x14ac:dyDescent="0.2">
      <c r="A275" s="472"/>
      <c r="C275" s="473"/>
      <c r="G275" s="474"/>
      <c r="H275" s="473"/>
      <c r="P275" s="459"/>
      <c r="Q275" s="459"/>
      <c r="R275" s="459"/>
      <c r="S275" s="459"/>
      <c r="T275" s="459"/>
      <c r="U275" s="459"/>
      <c r="V275" s="459"/>
      <c r="W275" s="459"/>
      <c r="X275" s="459"/>
      <c r="Y275" s="459"/>
      <c r="Z275" s="459"/>
      <c r="AA275" s="459"/>
      <c r="AB275" s="459"/>
      <c r="AC275" s="459"/>
      <c r="AD275" s="459"/>
      <c r="AE275" s="459"/>
      <c r="AF275" s="459"/>
      <c r="AG275" s="459"/>
      <c r="AH275" s="459"/>
      <c r="AI275" s="459"/>
      <c r="AJ275" s="459"/>
      <c r="AK275" s="459"/>
      <c r="AL275" s="459"/>
      <c r="AM275" s="459"/>
      <c r="AN275" s="459"/>
      <c r="AO275" s="459"/>
      <c r="AP275" s="459"/>
      <c r="AQ275" s="459"/>
      <c r="AR275" s="459"/>
      <c r="AS275" s="459"/>
      <c r="AT275" s="459"/>
      <c r="AU275" s="459"/>
      <c r="AV275" s="459"/>
      <c r="AW275" s="459"/>
      <c r="AX275" s="459"/>
      <c r="AY275" s="459"/>
      <c r="AZ275" s="459"/>
      <c r="BA275" s="459"/>
      <c r="BB275" s="459"/>
      <c r="BC275" s="459"/>
      <c r="BD275" s="459"/>
      <c r="BE275" s="459"/>
      <c r="BF275" s="459"/>
      <c r="BG275" s="459"/>
      <c r="BH275" s="459"/>
      <c r="BI275" s="459"/>
      <c r="BJ275" s="459"/>
      <c r="BK275" s="459"/>
      <c r="BL275" s="459"/>
      <c r="BM275" s="459"/>
      <c r="BN275" s="459"/>
      <c r="BO275" s="459"/>
      <c r="BP275" s="459"/>
      <c r="BQ275" s="459"/>
      <c r="BR275" s="459"/>
      <c r="BS275" s="459"/>
      <c r="BT275" s="459"/>
      <c r="BU275" s="459"/>
      <c r="BV275" s="459"/>
      <c r="BW275" s="459"/>
      <c r="BX275" s="459"/>
      <c r="BY275" s="459"/>
      <c r="BZ275" s="459"/>
      <c r="CA275" s="459"/>
      <c r="CB275" s="459"/>
      <c r="CC275" s="459"/>
    </row>
    <row r="276" spans="1:81" s="467" customFormat="1" x14ac:dyDescent="0.2">
      <c r="A276" s="472"/>
      <c r="C276" s="473"/>
      <c r="G276" s="474"/>
      <c r="H276" s="473"/>
      <c r="P276" s="459"/>
      <c r="Q276" s="459"/>
      <c r="R276" s="459"/>
      <c r="S276" s="459"/>
      <c r="T276" s="459"/>
      <c r="U276" s="459"/>
      <c r="V276" s="459"/>
      <c r="W276" s="459"/>
      <c r="X276" s="459"/>
      <c r="Y276" s="459"/>
      <c r="Z276" s="459"/>
      <c r="AA276" s="459"/>
      <c r="AB276" s="459"/>
      <c r="AC276" s="459"/>
      <c r="AD276" s="459"/>
      <c r="AE276" s="459"/>
      <c r="AF276" s="459"/>
      <c r="AG276" s="459"/>
      <c r="AH276" s="459"/>
      <c r="AI276" s="459"/>
      <c r="AJ276" s="459"/>
      <c r="AK276" s="459"/>
      <c r="AL276" s="459"/>
      <c r="AM276" s="459"/>
      <c r="AN276" s="459"/>
      <c r="AO276" s="459"/>
      <c r="AP276" s="459"/>
      <c r="AQ276" s="459"/>
      <c r="AR276" s="459"/>
      <c r="AS276" s="459"/>
      <c r="AT276" s="459"/>
      <c r="AU276" s="459"/>
      <c r="AV276" s="459"/>
      <c r="AW276" s="459"/>
      <c r="AX276" s="459"/>
      <c r="AY276" s="459"/>
      <c r="AZ276" s="459"/>
      <c r="BA276" s="459"/>
      <c r="BB276" s="459"/>
      <c r="BC276" s="459"/>
      <c r="BD276" s="459"/>
      <c r="BE276" s="459"/>
      <c r="BF276" s="459"/>
      <c r="BG276" s="459"/>
      <c r="BH276" s="459"/>
      <c r="BI276" s="459"/>
      <c r="BJ276" s="459"/>
      <c r="BK276" s="459"/>
      <c r="BL276" s="459"/>
      <c r="BM276" s="459"/>
      <c r="BN276" s="459"/>
      <c r="BO276" s="459"/>
      <c r="BP276" s="459"/>
      <c r="BQ276" s="459"/>
      <c r="BR276" s="459"/>
      <c r="BS276" s="459"/>
      <c r="BT276" s="459"/>
      <c r="BU276" s="459"/>
      <c r="BV276" s="459"/>
      <c r="BW276" s="459"/>
      <c r="BX276" s="459"/>
      <c r="BY276" s="459"/>
      <c r="BZ276" s="459"/>
      <c r="CA276" s="459"/>
      <c r="CB276" s="459"/>
      <c r="CC276" s="459"/>
    </row>
    <row r="277" spans="1:81" s="467" customFormat="1" x14ac:dyDescent="0.2">
      <c r="A277" s="472"/>
      <c r="C277" s="473"/>
      <c r="G277" s="474"/>
      <c r="H277" s="473"/>
      <c r="P277" s="459"/>
      <c r="Q277" s="459"/>
      <c r="R277" s="459"/>
      <c r="S277" s="459"/>
      <c r="T277" s="459"/>
      <c r="U277" s="459"/>
      <c r="V277" s="459"/>
      <c r="W277" s="459"/>
      <c r="X277" s="459"/>
      <c r="Y277" s="459"/>
      <c r="Z277" s="459"/>
      <c r="AA277" s="459"/>
      <c r="AB277" s="459"/>
      <c r="AC277" s="459"/>
      <c r="AD277" s="459"/>
      <c r="AE277" s="459"/>
      <c r="AF277" s="459"/>
      <c r="AG277" s="459"/>
      <c r="AH277" s="459"/>
      <c r="AI277" s="459"/>
      <c r="AJ277" s="459"/>
      <c r="AK277" s="459"/>
      <c r="AL277" s="459"/>
      <c r="AM277" s="459"/>
      <c r="AN277" s="459"/>
      <c r="AO277" s="459"/>
      <c r="AP277" s="459"/>
      <c r="AQ277" s="459"/>
      <c r="AR277" s="459"/>
      <c r="AS277" s="459"/>
      <c r="AT277" s="459"/>
      <c r="AU277" s="459"/>
      <c r="AV277" s="459"/>
      <c r="AW277" s="459"/>
      <c r="AX277" s="459"/>
      <c r="AY277" s="459"/>
      <c r="AZ277" s="459"/>
      <c r="BA277" s="459"/>
      <c r="BB277" s="459"/>
      <c r="BC277" s="459"/>
      <c r="BD277" s="459"/>
      <c r="BE277" s="459"/>
      <c r="BF277" s="459"/>
      <c r="BG277" s="459"/>
      <c r="BH277" s="459"/>
      <c r="BI277" s="459"/>
      <c r="BJ277" s="459"/>
      <c r="BK277" s="459"/>
      <c r="BL277" s="459"/>
      <c r="BM277" s="459"/>
      <c r="BN277" s="459"/>
      <c r="BO277" s="459"/>
      <c r="BP277" s="459"/>
      <c r="BQ277" s="459"/>
      <c r="BR277" s="459"/>
      <c r="BS277" s="459"/>
      <c r="BT277" s="459"/>
      <c r="BU277" s="459"/>
      <c r="BV277" s="459"/>
      <c r="BW277" s="459"/>
      <c r="BX277" s="459"/>
      <c r="BY277" s="459"/>
      <c r="BZ277" s="459"/>
      <c r="CA277" s="459"/>
      <c r="CB277" s="459"/>
      <c r="CC277" s="459"/>
    </row>
    <row r="278" spans="1:81" s="467" customFormat="1" x14ac:dyDescent="0.2">
      <c r="A278" s="472"/>
      <c r="C278" s="473"/>
      <c r="G278" s="474"/>
      <c r="H278" s="473"/>
      <c r="P278" s="459"/>
      <c r="Q278" s="459"/>
      <c r="R278" s="459"/>
      <c r="S278" s="459"/>
      <c r="T278" s="459"/>
      <c r="U278" s="459"/>
      <c r="V278" s="459"/>
      <c r="W278" s="459"/>
      <c r="X278" s="459"/>
      <c r="Y278" s="459"/>
      <c r="Z278" s="459"/>
      <c r="AA278" s="459"/>
      <c r="AB278" s="459"/>
      <c r="AC278" s="459"/>
      <c r="AD278" s="459"/>
      <c r="AE278" s="459"/>
      <c r="AF278" s="459"/>
      <c r="AG278" s="459"/>
      <c r="AH278" s="459"/>
      <c r="AI278" s="459"/>
      <c r="AJ278" s="459"/>
      <c r="AK278" s="459"/>
      <c r="AL278" s="459"/>
      <c r="AM278" s="459"/>
      <c r="AN278" s="459"/>
      <c r="AO278" s="459"/>
      <c r="AP278" s="459"/>
      <c r="AQ278" s="459"/>
      <c r="AR278" s="459"/>
      <c r="AS278" s="459"/>
      <c r="AT278" s="459"/>
      <c r="AU278" s="459"/>
      <c r="AV278" s="459"/>
      <c r="AW278" s="459"/>
      <c r="AX278" s="459"/>
      <c r="AY278" s="459"/>
      <c r="AZ278" s="459"/>
      <c r="BA278" s="459"/>
      <c r="BB278" s="459"/>
      <c r="BC278" s="459"/>
      <c r="BD278" s="459"/>
      <c r="BE278" s="459"/>
      <c r="BF278" s="459"/>
      <c r="BG278" s="459"/>
      <c r="BH278" s="459"/>
      <c r="BI278" s="459"/>
      <c r="BJ278" s="459"/>
      <c r="BK278" s="459"/>
      <c r="BL278" s="459"/>
      <c r="BM278" s="459"/>
      <c r="BN278" s="459"/>
      <c r="BO278" s="459"/>
      <c r="BP278" s="459"/>
      <c r="BQ278" s="459"/>
      <c r="BR278" s="459"/>
      <c r="BS278" s="459"/>
      <c r="BT278" s="459"/>
      <c r="BU278" s="459"/>
      <c r="BV278" s="459"/>
      <c r="BW278" s="459"/>
      <c r="BX278" s="459"/>
      <c r="BY278" s="459"/>
      <c r="BZ278" s="459"/>
      <c r="CA278" s="459"/>
      <c r="CB278" s="459"/>
      <c r="CC278" s="459"/>
    </row>
    <row r="279" spans="1:81" s="467" customFormat="1" x14ac:dyDescent="0.2">
      <c r="A279" s="472"/>
      <c r="C279" s="473"/>
      <c r="G279" s="474"/>
      <c r="H279" s="473"/>
      <c r="P279" s="459"/>
      <c r="Q279" s="459"/>
      <c r="R279" s="459"/>
      <c r="S279" s="459"/>
      <c r="T279" s="459"/>
      <c r="U279" s="459"/>
      <c r="V279" s="459"/>
      <c r="W279" s="459"/>
      <c r="X279" s="459"/>
      <c r="Y279" s="459"/>
      <c r="Z279" s="459"/>
      <c r="AA279" s="459"/>
      <c r="AB279" s="459"/>
      <c r="AC279" s="459"/>
      <c r="AD279" s="459"/>
      <c r="AE279" s="459"/>
      <c r="AF279" s="459"/>
      <c r="AG279" s="459"/>
      <c r="AH279" s="459"/>
      <c r="AI279" s="459"/>
      <c r="AJ279" s="459"/>
      <c r="AK279" s="459"/>
      <c r="AL279" s="459"/>
      <c r="AM279" s="459"/>
      <c r="AN279" s="459"/>
      <c r="AO279" s="459"/>
      <c r="AP279" s="459"/>
      <c r="AQ279" s="459"/>
      <c r="AR279" s="459"/>
      <c r="AS279" s="459"/>
      <c r="AT279" s="459"/>
      <c r="AU279" s="459"/>
      <c r="AV279" s="459"/>
      <c r="AW279" s="459"/>
      <c r="AX279" s="459"/>
      <c r="AY279" s="459"/>
      <c r="AZ279" s="459"/>
      <c r="BA279" s="459"/>
      <c r="BB279" s="459"/>
      <c r="BC279" s="459"/>
      <c r="BD279" s="459"/>
      <c r="BE279" s="459"/>
      <c r="BF279" s="459"/>
      <c r="BG279" s="459"/>
      <c r="BH279" s="459"/>
      <c r="BI279" s="459"/>
      <c r="BJ279" s="459"/>
      <c r="BK279" s="459"/>
      <c r="BL279" s="459"/>
      <c r="BM279" s="459"/>
      <c r="BN279" s="459"/>
      <c r="BO279" s="459"/>
      <c r="BP279" s="459"/>
      <c r="BQ279" s="459"/>
      <c r="BR279" s="459"/>
      <c r="BS279" s="459"/>
      <c r="BT279" s="459"/>
      <c r="BU279" s="459"/>
      <c r="BV279" s="459"/>
      <c r="BW279" s="459"/>
      <c r="BX279" s="459"/>
      <c r="BY279" s="459"/>
      <c r="BZ279" s="459"/>
      <c r="CA279" s="459"/>
      <c r="CB279" s="459"/>
      <c r="CC279" s="459"/>
    </row>
    <row r="280" spans="1:81" s="467" customFormat="1" x14ac:dyDescent="0.2">
      <c r="A280" s="472"/>
      <c r="C280" s="473"/>
      <c r="G280" s="474"/>
      <c r="H280" s="473"/>
      <c r="P280" s="459"/>
      <c r="Q280" s="459"/>
      <c r="R280" s="459"/>
      <c r="S280" s="459"/>
      <c r="T280" s="459"/>
      <c r="U280" s="459"/>
      <c r="V280" s="459"/>
      <c r="W280" s="459"/>
      <c r="X280" s="459"/>
      <c r="Y280" s="459"/>
      <c r="Z280" s="459"/>
      <c r="AA280" s="459"/>
      <c r="AB280" s="459"/>
      <c r="AC280" s="459"/>
      <c r="AD280" s="459"/>
      <c r="AE280" s="459"/>
      <c r="AF280" s="459"/>
      <c r="AG280" s="459"/>
      <c r="AH280" s="459"/>
      <c r="AI280" s="459"/>
      <c r="AJ280" s="459"/>
      <c r="AK280" s="459"/>
      <c r="AL280" s="459"/>
      <c r="AM280" s="459"/>
      <c r="AN280" s="459"/>
      <c r="AO280" s="459"/>
      <c r="AP280" s="459"/>
      <c r="AQ280" s="459"/>
      <c r="AR280" s="459"/>
      <c r="AS280" s="459"/>
      <c r="AT280" s="459"/>
      <c r="AU280" s="459"/>
      <c r="AV280" s="459"/>
      <c r="AW280" s="459"/>
      <c r="AX280" s="459"/>
      <c r="AY280" s="459"/>
      <c r="AZ280" s="459"/>
      <c r="BA280" s="459"/>
      <c r="BB280" s="459"/>
      <c r="BC280" s="459"/>
      <c r="BD280" s="459"/>
      <c r="BE280" s="459"/>
      <c r="BF280" s="459"/>
      <c r="BG280" s="459"/>
      <c r="BH280" s="459"/>
      <c r="BI280" s="459"/>
      <c r="BJ280" s="459"/>
      <c r="BK280" s="459"/>
      <c r="BL280" s="459"/>
      <c r="BM280" s="459"/>
      <c r="BN280" s="459"/>
      <c r="BO280" s="459"/>
      <c r="BP280" s="459"/>
      <c r="BQ280" s="459"/>
      <c r="BR280" s="459"/>
      <c r="BS280" s="459"/>
      <c r="BT280" s="459"/>
      <c r="BU280" s="459"/>
      <c r="BV280" s="459"/>
      <c r="BW280" s="459"/>
      <c r="BX280" s="459"/>
      <c r="BY280" s="459"/>
      <c r="BZ280" s="459"/>
      <c r="CA280" s="459"/>
      <c r="CB280" s="459"/>
      <c r="CC280" s="459"/>
    </row>
    <row r="281" spans="1:81" s="467" customFormat="1" x14ac:dyDescent="0.2">
      <c r="A281" s="472"/>
      <c r="C281" s="473"/>
      <c r="G281" s="474"/>
      <c r="H281" s="473"/>
      <c r="P281" s="459"/>
      <c r="Q281" s="459"/>
      <c r="R281" s="459"/>
      <c r="S281" s="459"/>
      <c r="T281" s="459"/>
      <c r="U281" s="459"/>
      <c r="V281" s="459"/>
      <c r="W281" s="459"/>
      <c r="X281" s="459"/>
      <c r="Y281" s="459"/>
      <c r="Z281" s="459"/>
      <c r="AA281" s="459"/>
      <c r="AB281" s="459"/>
      <c r="AC281" s="459"/>
      <c r="AD281" s="459"/>
      <c r="AE281" s="459"/>
      <c r="AF281" s="459"/>
      <c r="AG281" s="459"/>
      <c r="AH281" s="459"/>
      <c r="AI281" s="459"/>
      <c r="AJ281" s="459"/>
      <c r="AK281" s="459"/>
      <c r="AL281" s="459"/>
      <c r="AM281" s="459"/>
      <c r="AN281" s="459"/>
      <c r="AO281" s="459"/>
      <c r="AP281" s="459"/>
      <c r="AQ281" s="459"/>
      <c r="AR281" s="459"/>
      <c r="AS281" s="459"/>
      <c r="AT281" s="459"/>
      <c r="AU281" s="459"/>
      <c r="AV281" s="459"/>
      <c r="AW281" s="459"/>
      <c r="AX281" s="459"/>
      <c r="AY281" s="459"/>
      <c r="AZ281" s="459"/>
      <c r="BA281" s="459"/>
      <c r="BB281" s="459"/>
      <c r="BC281" s="459"/>
      <c r="BD281" s="459"/>
      <c r="BE281" s="459"/>
      <c r="BF281" s="459"/>
      <c r="BG281" s="459"/>
      <c r="BH281" s="459"/>
      <c r="BI281" s="459"/>
      <c r="BJ281" s="459"/>
      <c r="BK281" s="459"/>
      <c r="BL281" s="459"/>
      <c r="BM281" s="459"/>
      <c r="BN281" s="459"/>
      <c r="BO281" s="459"/>
      <c r="BP281" s="459"/>
      <c r="BQ281" s="459"/>
      <c r="BR281" s="459"/>
      <c r="BS281" s="459"/>
      <c r="BT281" s="459"/>
      <c r="BU281" s="459"/>
      <c r="BV281" s="459"/>
      <c r="BW281" s="459"/>
      <c r="BX281" s="459"/>
      <c r="BY281" s="459"/>
      <c r="BZ281" s="459"/>
      <c r="CA281" s="459"/>
      <c r="CB281" s="459"/>
      <c r="CC281" s="459"/>
    </row>
    <row r="282" spans="1:81" s="467" customFormat="1" x14ac:dyDescent="0.2">
      <c r="A282" s="472"/>
      <c r="C282" s="473"/>
      <c r="G282" s="474"/>
      <c r="H282" s="473"/>
      <c r="P282" s="459"/>
      <c r="Q282" s="459"/>
      <c r="R282" s="459"/>
      <c r="S282" s="459"/>
      <c r="T282" s="459"/>
      <c r="U282" s="459"/>
      <c r="V282" s="459"/>
      <c r="W282" s="459"/>
      <c r="X282" s="459"/>
      <c r="Y282" s="459"/>
      <c r="Z282" s="459"/>
      <c r="AA282" s="459"/>
      <c r="AB282" s="459"/>
      <c r="AC282" s="459"/>
      <c r="AD282" s="459"/>
      <c r="AE282" s="459"/>
      <c r="AF282" s="459"/>
      <c r="AG282" s="459"/>
      <c r="AH282" s="459"/>
      <c r="AI282" s="459"/>
      <c r="AJ282" s="459"/>
      <c r="AK282" s="459"/>
      <c r="AL282" s="459"/>
      <c r="AM282" s="459"/>
      <c r="AN282" s="459"/>
      <c r="AO282" s="459"/>
      <c r="AP282" s="459"/>
      <c r="AQ282" s="459"/>
      <c r="AR282" s="459"/>
      <c r="AS282" s="459"/>
      <c r="AT282" s="459"/>
      <c r="AU282" s="459"/>
      <c r="AV282" s="459"/>
      <c r="AW282" s="459"/>
      <c r="AX282" s="459"/>
      <c r="AY282" s="459"/>
      <c r="AZ282" s="459"/>
      <c r="BA282" s="459"/>
      <c r="BB282" s="459"/>
      <c r="BC282" s="459"/>
      <c r="BD282" s="459"/>
      <c r="BE282" s="459"/>
      <c r="BF282" s="459"/>
      <c r="BG282" s="459"/>
      <c r="BH282" s="459"/>
      <c r="BI282" s="459"/>
      <c r="BJ282" s="459"/>
      <c r="BK282" s="459"/>
      <c r="BL282" s="459"/>
      <c r="BM282" s="459"/>
      <c r="BN282" s="459"/>
      <c r="BO282" s="459"/>
      <c r="BP282" s="459"/>
      <c r="BQ282" s="459"/>
      <c r="BR282" s="459"/>
      <c r="BS282" s="459"/>
      <c r="BT282" s="459"/>
      <c r="BU282" s="459"/>
      <c r="BV282" s="459"/>
      <c r="BW282" s="459"/>
      <c r="BX282" s="459"/>
      <c r="BY282" s="459"/>
      <c r="BZ282" s="459"/>
      <c r="CA282" s="459"/>
      <c r="CB282" s="459"/>
      <c r="CC282" s="459"/>
    </row>
    <row r="283" spans="1:81" s="467" customFormat="1" x14ac:dyDescent="0.2">
      <c r="A283" s="472"/>
      <c r="C283" s="473"/>
      <c r="G283" s="474"/>
      <c r="H283" s="473"/>
      <c r="P283" s="459"/>
      <c r="Q283" s="459"/>
      <c r="R283" s="459"/>
      <c r="S283" s="459"/>
      <c r="T283" s="459"/>
      <c r="U283" s="459"/>
      <c r="V283" s="459"/>
      <c r="W283" s="459"/>
      <c r="X283" s="459"/>
      <c r="Y283" s="459"/>
      <c r="Z283" s="459"/>
      <c r="AA283" s="459"/>
      <c r="AB283" s="459"/>
      <c r="AC283" s="459"/>
      <c r="AD283" s="459"/>
      <c r="AE283" s="459"/>
      <c r="AF283" s="459"/>
      <c r="AG283" s="459"/>
      <c r="AH283" s="459"/>
      <c r="AI283" s="459"/>
      <c r="AJ283" s="459"/>
      <c r="AK283" s="459"/>
      <c r="AL283" s="459"/>
      <c r="AM283" s="459"/>
      <c r="AN283" s="459"/>
      <c r="AO283" s="459"/>
      <c r="AP283" s="459"/>
      <c r="AQ283" s="459"/>
      <c r="AR283" s="459"/>
      <c r="AS283" s="459"/>
      <c r="AT283" s="459"/>
      <c r="AU283" s="459"/>
      <c r="AV283" s="459"/>
      <c r="AW283" s="459"/>
      <c r="AX283" s="459"/>
      <c r="AY283" s="459"/>
      <c r="AZ283" s="459"/>
      <c r="BA283" s="459"/>
      <c r="BB283" s="459"/>
      <c r="BC283" s="459"/>
      <c r="BD283" s="459"/>
      <c r="BE283" s="459"/>
      <c r="BF283" s="459"/>
      <c r="BG283" s="459"/>
      <c r="BH283" s="459"/>
      <c r="BI283" s="459"/>
      <c r="BJ283" s="459"/>
      <c r="BK283" s="459"/>
      <c r="BL283" s="459"/>
      <c r="BM283" s="459"/>
      <c r="BN283" s="459"/>
      <c r="BO283" s="459"/>
      <c r="BP283" s="459"/>
      <c r="BQ283" s="459"/>
      <c r="BR283" s="459"/>
      <c r="BS283" s="459"/>
      <c r="BT283" s="459"/>
      <c r="BU283" s="459"/>
      <c r="BV283" s="459"/>
      <c r="BW283" s="459"/>
      <c r="BX283" s="459"/>
      <c r="BY283" s="459"/>
      <c r="BZ283" s="459"/>
      <c r="CA283" s="459"/>
      <c r="CB283" s="459"/>
      <c r="CC283" s="459"/>
    </row>
    <row r="284" spans="1:81" s="467" customFormat="1" x14ac:dyDescent="0.2">
      <c r="A284" s="472"/>
      <c r="C284" s="473"/>
      <c r="G284" s="474"/>
      <c r="H284" s="473"/>
      <c r="P284" s="459"/>
      <c r="Q284" s="459"/>
      <c r="R284" s="459"/>
      <c r="S284" s="459"/>
      <c r="T284" s="459"/>
      <c r="U284" s="459"/>
      <c r="V284" s="459"/>
      <c r="W284" s="459"/>
      <c r="X284" s="459"/>
      <c r="Y284" s="459"/>
      <c r="Z284" s="459"/>
      <c r="AA284" s="459"/>
      <c r="AB284" s="459"/>
      <c r="AC284" s="459"/>
      <c r="AD284" s="459"/>
      <c r="AE284" s="459"/>
      <c r="AF284" s="459"/>
      <c r="AG284" s="459"/>
      <c r="AH284" s="459"/>
      <c r="AI284" s="459"/>
      <c r="AJ284" s="459"/>
      <c r="AK284" s="459"/>
      <c r="AL284" s="459"/>
      <c r="AM284" s="459"/>
      <c r="AN284" s="459"/>
      <c r="AO284" s="459"/>
      <c r="AP284" s="459"/>
      <c r="AQ284" s="459"/>
      <c r="AR284" s="459"/>
      <c r="AS284" s="459"/>
      <c r="AT284" s="459"/>
      <c r="AU284" s="459"/>
      <c r="AV284" s="459"/>
      <c r="AW284" s="459"/>
      <c r="AX284" s="459"/>
      <c r="AY284" s="459"/>
      <c r="AZ284" s="459"/>
      <c r="BA284" s="459"/>
      <c r="BB284" s="459"/>
      <c r="BC284" s="459"/>
      <c r="BD284" s="459"/>
      <c r="BE284" s="459"/>
      <c r="BF284" s="459"/>
      <c r="BG284" s="459"/>
      <c r="BH284" s="459"/>
      <c r="BI284" s="459"/>
      <c r="BJ284" s="459"/>
      <c r="BK284" s="459"/>
      <c r="BL284" s="459"/>
      <c r="BM284" s="459"/>
      <c r="BN284" s="459"/>
      <c r="BO284" s="459"/>
      <c r="BP284" s="459"/>
      <c r="BQ284" s="459"/>
      <c r="BR284" s="459"/>
      <c r="BS284" s="459"/>
      <c r="BT284" s="459"/>
      <c r="BU284" s="459"/>
      <c r="BV284" s="459"/>
      <c r="BW284" s="459"/>
      <c r="BX284" s="459"/>
      <c r="BY284" s="459"/>
      <c r="BZ284" s="459"/>
      <c r="CA284" s="459"/>
      <c r="CB284" s="459"/>
      <c r="CC284" s="459"/>
    </row>
    <row r="285" spans="1:81" s="467" customFormat="1" x14ac:dyDescent="0.2">
      <c r="A285" s="472"/>
      <c r="C285" s="473"/>
      <c r="G285" s="474"/>
      <c r="H285" s="473"/>
      <c r="P285" s="459"/>
      <c r="Q285" s="459"/>
      <c r="R285" s="459"/>
      <c r="S285" s="459"/>
      <c r="T285" s="459"/>
      <c r="U285" s="459"/>
      <c r="V285" s="459"/>
      <c r="W285" s="459"/>
      <c r="X285" s="459"/>
      <c r="Y285" s="459"/>
      <c r="Z285" s="459"/>
      <c r="AA285" s="459"/>
      <c r="AB285" s="459"/>
      <c r="AC285" s="459"/>
      <c r="AD285" s="459"/>
      <c r="AE285" s="459"/>
      <c r="AF285" s="459"/>
      <c r="AG285" s="459"/>
      <c r="AH285" s="459"/>
      <c r="AI285" s="459"/>
      <c r="AJ285" s="459"/>
      <c r="AK285" s="459"/>
      <c r="AL285" s="459"/>
      <c r="AM285" s="459"/>
      <c r="AN285" s="459"/>
      <c r="AO285" s="459"/>
      <c r="AP285" s="459"/>
      <c r="AQ285" s="459"/>
      <c r="AR285" s="459"/>
      <c r="AS285" s="459"/>
      <c r="AT285" s="459"/>
      <c r="AU285" s="459"/>
      <c r="AV285" s="459"/>
      <c r="AW285" s="459"/>
      <c r="AX285" s="459"/>
      <c r="AY285" s="459"/>
      <c r="AZ285" s="459"/>
      <c r="BA285" s="459"/>
      <c r="BB285" s="459"/>
      <c r="BC285" s="459"/>
      <c r="BD285" s="459"/>
      <c r="BE285" s="459"/>
      <c r="BF285" s="459"/>
      <c r="BG285" s="459"/>
      <c r="BH285" s="459"/>
      <c r="BI285" s="459"/>
      <c r="BJ285" s="459"/>
      <c r="BK285" s="459"/>
      <c r="BL285" s="459"/>
      <c r="BM285" s="459"/>
      <c r="BN285" s="459"/>
      <c r="BO285" s="459"/>
      <c r="BP285" s="459"/>
      <c r="BQ285" s="459"/>
      <c r="BR285" s="459"/>
      <c r="BS285" s="459"/>
      <c r="BT285" s="459"/>
      <c r="BU285" s="459"/>
      <c r="BV285" s="459"/>
      <c r="BW285" s="459"/>
      <c r="BX285" s="459"/>
      <c r="BY285" s="459"/>
      <c r="BZ285" s="459"/>
      <c r="CA285" s="459"/>
      <c r="CB285" s="459"/>
      <c r="CC285" s="459"/>
    </row>
    <row r="286" spans="1:81" s="467" customFormat="1" x14ac:dyDescent="0.2">
      <c r="A286" s="472"/>
      <c r="C286" s="473"/>
      <c r="G286" s="474"/>
      <c r="H286" s="473"/>
      <c r="P286" s="459"/>
      <c r="Q286" s="459"/>
      <c r="R286" s="459"/>
      <c r="S286" s="459"/>
      <c r="T286" s="459"/>
      <c r="U286" s="459"/>
      <c r="V286" s="459"/>
      <c r="W286" s="459"/>
      <c r="X286" s="459"/>
      <c r="Y286" s="459"/>
      <c r="Z286" s="459"/>
      <c r="AA286" s="459"/>
      <c r="AB286" s="459"/>
      <c r="AC286" s="459"/>
      <c r="AD286" s="459"/>
      <c r="AE286" s="459"/>
      <c r="AF286" s="459"/>
      <c r="AG286" s="459"/>
      <c r="AH286" s="459"/>
      <c r="AI286" s="459"/>
      <c r="AJ286" s="459"/>
      <c r="AK286" s="459"/>
      <c r="AL286" s="459"/>
      <c r="AM286" s="459"/>
      <c r="AN286" s="459"/>
      <c r="AO286" s="459"/>
      <c r="AP286" s="459"/>
      <c r="AQ286" s="459"/>
      <c r="AR286" s="459"/>
      <c r="AS286" s="459"/>
      <c r="AT286" s="459"/>
      <c r="AU286" s="459"/>
      <c r="AV286" s="459"/>
      <c r="AW286" s="459"/>
      <c r="AX286" s="459"/>
      <c r="AY286" s="459"/>
      <c r="AZ286" s="459"/>
      <c r="BA286" s="459"/>
      <c r="BB286" s="459"/>
      <c r="BC286" s="459"/>
      <c r="BD286" s="459"/>
      <c r="BE286" s="459"/>
      <c r="BF286" s="459"/>
      <c r="BG286" s="459"/>
      <c r="BH286" s="459"/>
      <c r="BI286" s="459"/>
      <c r="BJ286" s="459"/>
      <c r="BK286" s="459"/>
      <c r="BL286" s="459"/>
      <c r="BM286" s="459"/>
      <c r="BN286" s="459"/>
      <c r="BO286" s="459"/>
      <c r="BP286" s="459"/>
      <c r="BQ286" s="459"/>
      <c r="BR286" s="459"/>
      <c r="BS286" s="459"/>
      <c r="BT286" s="459"/>
      <c r="BU286" s="459"/>
      <c r="BV286" s="459"/>
      <c r="BW286" s="459"/>
      <c r="BX286" s="459"/>
      <c r="BY286" s="459"/>
      <c r="BZ286" s="459"/>
      <c r="CA286" s="459"/>
      <c r="CB286" s="459"/>
      <c r="CC286" s="459"/>
    </row>
    <row r="287" spans="1:81" s="467" customFormat="1" x14ac:dyDescent="0.2">
      <c r="A287" s="472"/>
      <c r="C287" s="473"/>
      <c r="G287" s="474"/>
      <c r="H287" s="473"/>
      <c r="P287" s="459"/>
      <c r="Q287" s="459"/>
      <c r="R287" s="459"/>
      <c r="S287" s="459"/>
      <c r="T287" s="459"/>
      <c r="U287" s="459"/>
      <c r="V287" s="459"/>
      <c r="W287" s="459"/>
      <c r="X287" s="459"/>
      <c r="Y287" s="459"/>
      <c r="Z287" s="459"/>
      <c r="AA287" s="459"/>
      <c r="AB287" s="459"/>
      <c r="AC287" s="459"/>
      <c r="AD287" s="459"/>
      <c r="AE287" s="459"/>
      <c r="AF287" s="459"/>
      <c r="AG287" s="459"/>
      <c r="AH287" s="459"/>
      <c r="AI287" s="459"/>
      <c r="AJ287" s="459"/>
      <c r="AK287" s="459"/>
      <c r="AL287" s="459"/>
      <c r="AM287" s="459"/>
      <c r="AN287" s="459"/>
      <c r="AO287" s="459"/>
      <c r="AP287" s="459"/>
      <c r="AQ287" s="459"/>
      <c r="AR287" s="459"/>
      <c r="AS287" s="459"/>
      <c r="AT287" s="459"/>
      <c r="AU287" s="459"/>
      <c r="AV287" s="459"/>
      <c r="AW287" s="459"/>
      <c r="AX287" s="459"/>
      <c r="AY287" s="459"/>
      <c r="AZ287" s="459"/>
      <c r="BA287" s="459"/>
      <c r="BB287" s="459"/>
      <c r="BC287" s="459"/>
      <c r="BD287" s="459"/>
      <c r="BE287" s="459"/>
      <c r="BF287" s="459"/>
      <c r="BG287" s="459"/>
      <c r="BH287" s="459"/>
      <c r="BI287" s="459"/>
      <c r="BJ287" s="459"/>
      <c r="BK287" s="459"/>
      <c r="BL287" s="459"/>
      <c r="BM287" s="459"/>
      <c r="BN287" s="459"/>
      <c r="BO287" s="459"/>
      <c r="BP287" s="459"/>
      <c r="BQ287" s="459"/>
      <c r="BR287" s="459"/>
      <c r="BS287" s="459"/>
      <c r="BT287" s="459"/>
      <c r="BU287" s="459"/>
      <c r="BV287" s="459"/>
      <c r="BW287" s="459"/>
      <c r="BX287" s="459"/>
      <c r="BY287" s="459"/>
      <c r="BZ287" s="459"/>
      <c r="CA287" s="459"/>
      <c r="CB287" s="459"/>
      <c r="CC287" s="459"/>
    </row>
    <row r="288" spans="1:81" s="467" customFormat="1" x14ac:dyDescent="0.2">
      <c r="A288" s="472"/>
      <c r="C288" s="473"/>
      <c r="G288" s="474"/>
      <c r="H288" s="473"/>
      <c r="P288" s="459"/>
      <c r="Q288" s="459"/>
      <c r="R288" s="459"/>
      <c r="S288" s="459"/>
      <c r="T288" s="459"/>
      <c r="U288" s="459"/>
      <c r="V288" s="459"/>
      <c r="W288" s="459"/>
      <c r="X288" s="459"/>
      <c r="Y288" s="459"/>
      <c r="Z288" s="459"/>
      <c r="AA288" s="459"/>
      <c r="AB288" s="459"/>
      <c r="AC288" s="459"/>
      <c r="AD288" s="459"/>
      <c r="AE288" s="459"/>
      <c r="AF288" s="459"/>
      <c r="AG288" s="459"/>
      <c r="AH288" s="459"/>
      <c r="AI288" s="459"/>
      <c r="AJ288" s="459"/>
      <c r="AK288" s="459"/>
      <c r="AL288" s="459"/>
      <c r="AM288" s="459"/>
      <c r="AN288" s="459"/>
      <c r="AO288" s="459"/>
      <c r="AP288" s="459"/>
      <c r="AQ288" s="459"/>
      <c r="AR288" s="459"/>
      <c r="AS288" s="459"/>
      <c r="AT288" s="459"/>
      <c r="AU288" s="459"/>
      <c r="AV288" s="459"/>
      <c r="AW288" s="459"/>
      <c r="AX288" s="459"/>
      <c r="AY288" s="459"/>
      <c r="AZ288" s="459"/>
      <c r="BA288" s="459"/>
      <c r="BB288" s="459"/>
      <c r="BC288" s="459"/>
      <c r="BD288" s="459"/>
      <c r="BE288" s="459"/>
      <c r="BF288" s="459"/>
      <c r="BG288" s="459"/>
      <c r="BH288" s="459"/>
      <c r="BI288" s="459"/>
      <c r="BJ288" s="459"/>
      <c r="BK288" s="459"/>
      <c r="BL288" s="459"/>
      <c r="BM288" s="459"/>
      <c r="BN288" s="459"/>
      <c r="BO288" s="459"/>
      <c r="BP288" s="459"/>
      <c r="BQ288" s="459"/>
      <c r="BR288" s="459"/>
      <c r="BS288" s="459"/>
      <c r="BT288" s="459"/>
      <c r="BU288" s="459"/>
      <c r="BV288" s="459"/>
      <c r="BW288" s="459"/>
      <c r="BX288" s="459"/>
      <c r="BY288" s="459"/>
      <c r="BZ288" s="459"/>
      <c r="CA288" s="459"/>
      <c r="CB288" s="459"/>
      <c r="CC288" s="459"/>
    </row>
    <row r="289" spans="1:81" s="467" customFormat="1" x14ac:dyDescent="0.2">
      <c r="A289" s="472"/>
      <c r="C289" s="473"/>
      <c r="G289" s="474"/>
      <c r="H289" s="473"/>
      <c r="P289" s="459"/>
      <c r="Q289" s="459"/>
      <c r="R289" s="459"/>
      <c r="S289" s="459"/>
      <c r="T289" s="459"/>
      <c r="U289" s="459"/>
      <c r="V289" s="459"/>
      <c r="W289" s="459"/>
      <c r="X289" s="459"/>
      <c r="Y289" s="459"/>
      <c r="Z289" s="459"/>
      <c r="AA289" s="459"/>
      <c r="AB289" s="459"/>
      <c r="AC289" s="459"/>
      <c r="AD289" s="459"/>
      <c r="AE289" s="459"/>
      <c r="AF289" s="459"/>
      <c r="AG289" s="459"/>
      <c r="AH289" s="459"/>
      <c r="AI289" s="459"/>
      <c r="AJ289" s="459"/>
      <c r="AK289" s="459"/>
      <c r="AL289" s="459"/>
      <c r="AM289" s="459"/>
      <c r="AN289" s="459"/>
      <c r="AO289" s="459"/>
      <c r="AP289" s="459"/>
      <c r="AQ289" s="459"/>
      <c r="AR289" s="459"/>
      <c r="AS289" s="459"/>
      <c r="AT289" s="459"/>
      <c r="AU289" s="459"/>
      <c r="AV289" s="459"/>
      <c r="AW289" s="459"/>
      <c r="AX289" s="459"/>
      <c r="AY289" s="459"/>
      <c r="AZ289" s="459"/>
      <c r="BA289" s="459"/>
      <c r="BB289" s="459"/>
      <c r="BC289" s="459"/>
      <c r="BD289" s="459"/>
      <c r="BE289" s="459"/>
      <c r="BF289" s="459"/>
      <c r="BG289" s="459"/>
      <c r="BH289" s="459"/>
      <c r="BI289" s="459"/>
      <c r="BJ289" s="459"/>
      <c r="BK289" s="459"/>
      <c r="BL289" s="459"/>
      <c r="BM289" s="459"/>
      <c r="BN289" s="459"/>
      <c r="BO289" s="459"/>
      <c r="BP289" s="459"/>
      <c r="BQ289" s="459"/>
      <c r="BR289" s="459"/>
      <c r="BS289" s="459"/>
      <c r="BT289" s="459"/>
      <c r="BU289" s="459"/>
      <c r="BV289" s="459"/>
      <c r="BW289" s="459"/>
      <c r="BX289" s="459"/>
      <c r="BY289" s="459"/>
      <c r="BZ289" s="459"/>
      <c r="CA289" s="459"/>
      <c r="CB289" s="459"/>
      <c r="CC289" s="459"/>
    </row>
    <row r="290" spans="1:81" s="467" customFormat="1" x14ac:dyDescent="0.2">
      <c r="A290" s="472"/>
      <c r="C290" s="473"/>
      <c r="G290" s="474"/>
      <c r="H290" s="473"/>
      <c r="P290" s="459"/>
      <c r="Q290" s="459"/>
      <c r="R290" s="459"/>
      <c r="S290" s="459"/>
      <c r="T290" s="459"/>
      <c r="U290" s="459"/>
      <c r="V290" s="459"/>
      <c r="W290" s="459"/>
      <c r="X290" s="459"/>
      <c r="Y290" s="459"/>
      <c r="Z290" s="459"/>
      <c r="AA290" s="459"/>
      <c r="AB290" s="459"/>
      <c r="AC290" s="459"/>
      <c r="AD290" s="459"/>
      <c r="AE290" s="459"/>
      <c r="AF290" s="459"/>
      <c r="AG290" s="459"/>
      <c r="AH290" s="459"/>
      <c r="AI290" s="459"/>
      <c r="AJ290" s="459"/>
      <c r="AK290" s="459"/>
      <c r="AL290" s="459"/>
      <c r="AM290" s="459"/>
      <c r="AN290" s="459"/>
      <c r="AO290" s="459"/>
      <c r="AP290" s="459"/>
      <c r="AQ290" s="459"/>
      <c r="AR290" s="459"/>
      <c r="AS290" s="459"/>
      <c r="AT290" s="459"/>
      <c r="AU290" s="459"/>
      <c r="AV290" s="459"/>
      <c r="AW290" s="459"/>
      <c r="AX290" s="459"/>
      <c r="AY290" s="459"/>
      <c r="AZ290" s="459"/>
      <c r="BA290" s="459"/>
      <c r="BB290" s="459"/>
      <c r="BC290" s="459"/>
      <c r="BD290" s="459"/>
      <c r="BE290" s="459"/>
      <c r="BF290" s="459"/>
      <c r="BG290" s="459"/>
      <c r="BH290" s="459"/>
      <c r="BI290" s="459"/>
      <c r="BJ290" s="459"/>
      <c r="BK290" s="459"/>
      <c r="BL290" s="459"/>
      <c r="BM290" s="459"/>
      <c r="BN290" s="459"/>
      <c r="BO290" s="459"/>
      <c r="BP290" s="459"/>
      <c r="BQ290" s="459"/>
      <c r="BR290" s="459"/>
      <c r="BS290" s="459"/>
      <c r="BT290" s="459"/>
      <c r="BU290" s="459"/>
      <c r="BV290" s="459"/>
      <c r="BW290" s="459"/>
      <c r="BX290" s="459"/>
      <c r="BY290" s="459"/>
      <c r="BZ290" s="459"/>
      <c r="CA290" s="459"/>
      <c r="CB290" s="459"/>
      <c r="CC290" s="459"/>
    </row>
    <row r="291" spans="1:81" s="467" customFormat="1" x14ac:dyDescent="0.2">
      <c r="A291" s="472"/>
      <c r="C291" s="473"/>
      <c r="G291" s="474"/>
      <c r="H291" s="473"/>
      <c r="P291" s="459"/>
      <c r="Q291" s="459"/>
      <c r="R291" s="459"/>
      <c r="S291" s="459"/>
      <c r="T291" s="459"/>
      <c r="U291" s="459"/>
      <c r="V291" s="459"/>
      <c r="W291" s="459"/>
      <c r="X291" s="459"/>
      <c r="Y291" s="459"/>
      <c r="Z291" s="459"/>
      <c r="AA291" s="459"/>
      <c r="AB291" s="459"/>
      <c r="AC291" s="459"/>
      <c r="AD291" s="459"/>
      <c r="AE291" s="459"/>
      <c r="AF291" s="459"/>
      <c r="AG291" s="459"/>
      <c r="AH291" s="459"/>
      <c r="AI291" s="459"/>
      <c r="AJ291" s="459"/>
      <c r="AK291" s="459"/>
      <c r="AL291" s="459"/>
      <c r="AM291" s="459"/>
      <c r="AN291" s="459"/>
      <c r="AO291" s="459"/>
      <c r="AP291" s="459"/>
      <c r="AQ291" s="459"/>
      <c r="AR291" s="459"/>
      <c r="AS291" s="459"/>
      <c r="AT291" s="459"/>
      <c r="AU291" s="459"/>
      <c r="AV291" s="459"/>
      <c r="AW291" s="459"/>
      <c r="AX291" s="459"/>
      <c r="AY291" s="459"/>
      <c r="AZ291" s="459"/>
      <c r="BA291" s="459"/>
      <c r="BB291" s="459"/>
      <c r="BC291" s="459"/>
      <c r="BD291" s="459"/>
      <c r="BE291" s="459"/>
      <c r="BF291" s="459"/>
      <c r="BG291" s="459"/>
      <c r="BH291" s="459"/>
      <c r="BI291" s="459"/>
      <c r="BJ291" s="459"/>
      <c r="BK291" s="459"/>
      <c r="BL291" s="459"/>
      <c r="BM291" s="459"/>
      <c r="BN291" s="459"/>
      <c r="BO291" s="459"/>
      <c r="BP291" s="459"/>
      <c r="BQ291" s="459"/>
      <c r="BR291" s="459"/>
      <c r="BS291" s="459"/>
      <c r="BT291" s="459"/>
      <c r="BU291" s="459"/>
      <c r="BV291" s="459"/>
      <c r="BW291" s="459"/>
      <c r="BX291" s="459"/>
      <c r="BY291" s="459"/>
      <c r="BZ291" s="459"/>
      <c r="CA291" s="459"/>
      <c r="CB291" s="459"/>
      <c r="CC291" s="459"/>
    </row>
    <row r="292" spans="1:81" s="467" customFormat="1" x14ac:dyDescent="0.2">
      <c r="A292" s="472"/>
      <c r="C292" s="473"/>
      <c r="G292" s="474"/>
      <c r="H292" s="473"/>
      <c r="P292" s="459"/>
      <c r="Q292" s="459"/>
      <c r="R292" s="459"/>
      <c r="S292" s="459"/>
      <c r="T292" s="459"/>
      <c r="U292" s="459"/>
      <c r="V292" s="459"/>
      <c r="W292" s="459"/>
      <c r="X292" s="459"/>
      <c r="Y292" s="459"/>
      <c r="Z292" s="459"/>
      <c r="AA292" s="459"/>
      <c r="AB292" s="459"/>
      <c r="AC292" s="459"/>
      <c r="AD292" s="459"/>
      <c r="AE292" s="459"/>
      <c r="AF292" s="459"/>
      <c r="AG292" s="459"/>
      <c r="AH292" s="459"/>
      <c r="AI292" s="459"/>
      <c r="AJ292" s="459"/>
      <c r="AK292" s="459"/>
      <c r="AL292" s="459"/>
      <c r="AM292" s="459"/>
      <c r="AN292" s="459"/>
      <c r="AO292" s="459"/>
      <c r="AP292" s="459"/>
      <c r="AQ292" s="459"/>
      <c r="AR292" s="459"/>
      <c r="AS292" s="459"/>
      <c r="AT292" s="459"/>
      <c r="AU292" s="459"/>
      <c r="AV292" s="459"/>
      <c r="AW292" s="459"/>
      <c r="AX292" s="459"/>
      <c r="AY292" s="459"/>
      <c r="AZ292" s="459"/>
      <c r="BA292" s="459"/>
      <c r="BB292" s="459"/>
      <c r="BC292" s="459"/>
      <c r="BD292" s="459"/>
      <c r="BE292" s="459"/>
      <c r="BF292" s="459"/>
      <c r="BG292" s="459"/>
      <c r="BH292" s="459"/>
      <c r="BI292" s="459"/>
      <c r="BJ292" s="459"/>
      <c r="BK292" s="459"/>
      <c r="BL292" s="459"/>
      <c r="BM292" s="459"/>
      <c r="BN292" s="459"/>
      <c r="BO292" s="459"/>
      <c r="BP292" s="459"/>
      <c r="BQ292" s="459"/>
      <c r="BR292" s="459"/>
      <c r="BS292" s="459"/>
      <c r="BT292" s="459"/>
      <c r="BU292" s="459"/>
      <c r="BV292" s="459"/>
      <c r="BW292" s="459"/>
      <c r="BX292" s="459"/>
      <c r="BY292" s="459"/>
      <c r="BZ292" s="459"/>
      <c r="CA292" s="459"/>
      <c r="CB292" s="459"/>
      <c r="CC292" s="459"/>
    </row>
    <row r="293" spans="1:81" s="467" customFormat="1" x14ac:dyDescent="0.2">
      <c r="A293" s="472"/>
      <c r="C293" s="473"/>
      <c r="G293" s="474"/>
      <c r="H293" s="473"/>
      <c r="P293" s="459"/>
      <c r="Q293" s="459"/>
      <c r="R293" s="459"/>
      <c r="S293" s="459"/>
      <c r="T293" s="459"/>
      <c r="U293" s="459"/>
      <c r="V293" s="459"/>
      <c r="W293" s="459"/>
      <c r="X293" s="459"/>
      <c r="Y293" s="459"/>
      <c r="Z293" s="459"/>
      <c r="AA293" s="459"/>
      <c r="AB293" s="459"/>
      <c r="AC293" s="459"/>
      <c r="AD293" s="459"/>
      <c r="AE293" s="459"/>
      <c r="AF293" s="459"/>
      <c r="AG293" s="459"/>
      <c r="AH293" s="459"/>
      <c r="AI293" s="459"/>
      <c r="AJ293" s="459"/>
      <c r="AK293" s="459"/>
      <c r="AL293" s="459"/>
      <c r="AM293" s="459"/>
      <c r="AN293" s="459"/>
      <c r="AO293" s="459"/>
      <c r="AP293" s="459"/>
      <c r="AQ293" s="459"/>
      <c r="AR293" s="459"/>
      <c r="AS293" s="459"/>
      <c r="AT293" s="459"/>
      <c r="AU293" s="459"/>
      <c r="AV293" s="459"/>
      <c r="AW293" s="459"/>
      <c r="AX293" s="459"/>
      <c r="AY293" s="459"/>
      <c r="AZ293" s="459"/>
      <c r="BA293" s="459"/>
      <c r="BB293" s="459"/>
      <c r="BC293" s="459"/>
      <c r="BD293" s="459"/>
      <c r="BE293" s="459"/>
      <c r="BF293" s="459"/>
      <c r="BG293" s="459"/>
      <c r="BH293" s="459"/>
      <c r="BI293" s="459"/>
      <c r="BJ293" s="459"/>
      <c r="BK293" s="459"/>
      <c r="BL293" s="459"/>
      <c r="BM293" s="459"/>
      <c r="BN293" s="459"/>
      <c r="BO293" s="459"/>
      <c r="BP293" s="459"/>
      <c r="BQ293" s="459"/>
      <c r="BR293" s="459"/>
      <c r="BS293" s="459"/>
      <c r="BT293" s="459"/>
      <c r="BU293" s="459"/>
      <c r="BV293" s="459"/>
      <c r="BW293" s="459"/>
      <c r="BX293" s="459"/>
      <c r="BY293" s="459"/>
      <c r="BZ293" s="459"/>
      <c r="CA293" s="459"/>
      <c r="CB293" s="459"/>
      <c r="CC293" s="459"/>
    </row>
    <row r="294" spans="1:81" s="467" customFormat="1" x14ac:dyDescent="0.2">
      <c r="A294" s="472"/>
      <c r="C294" s="473"/>
      <c r="G294" s="474"/>
      <c r="H294" s="473"/>
      <c r="P294" s="459"/>
      <c r="Q294" s="459"/>
      <c r="R294" s="459"/>
      <c r="S294" s="459"/>
      <c r="T294" s="459"/>
      <c r="U294" s="459"/>
      <c r="V294" s="459"/>
      <c r="W294" s="459"/>
      <c r="X294" s="459"/>
      <c r="Y294" s="459"/>
      <c r="Z294" s="459"/>
      <c r="AA294" s="459"/>
      <c r="AB294" s="459"/>
      <c r="AC294" s="459"/>
      <c r="AD294" s="459"/>
      <c r="AE294" s="459"/>
      <c r="AF294" s="459"/>
      <c r="AG294" s="459"/>
      <c r="AH294" s="459"/>
      <c r="AI294" s="459"/>
      <c r="AJ294" s="459"/>
      <c r="AK294" s="459"/>
      <c r="AL294" s="459"/>
      <c r="AM294" s="459"/>
      <c r="AN294" s="459"/>
      <c r="AO294" s="459"/>
      <c r="AP294" s="459"/>
      <c r="AQ294" s="459"/>
      <c r="AR294" s="459"/>
      <c r="AS294" s="459"/>
      <c r="AT294" s="459"/>
      <c r="AU294" s="459"/>
      <c r="AV294" s="459"/>
      <c r="AW294" s="459"/>
      <c r="AX294" s="459"/>
      <c r="AY294" s="459"/>
      <c r="AZ294" s="459"/>
      <c r="BA294" s="459"/>
      <c r="BB294" s="459"/>
      <c r="BC294" s="459"/>
      <c r="BD294" s="459"/>
      <c r="BE294" s="459"/>
      <c r="BF294" s="459"/>
      <c r="BG294" s="459"/>
      <c r="BH294" s="459"/>
      <c r="BI294" s="459"/>
      <c r="BJ294" s="459"/>
      <c r="BK294" s="459"/>
      <c r="BL294" s="459"/>
      <c r="BM294" s="459"/>
      <c r="BN294" s="459"/>
      <c r="BO294" s="459"/>
      <c r="BP294" s="459"/>
      <c r="BQ294" s="459"/>
      <c r="BR294" s="459"/>
      <c r="BS294" s="459"/>
      <c r="BT294" s="459"/>
      <c r="BU294" s="459"/>
      <c r="BV294" s="459"/>
      <c r="BW294" s="459"/>
      <c r="BX294" s="459"/>
      <c r="BY294" s="459"/>
      <c r="BZ294" s="459"/>
      <c r="CA294" s="459"/>
      <c r="CB294" s="459"/>
      <c r="CC294" s="459"/>
    </row>
    <row r="295" spans="1:81" s="467" customFormat="1" x14ac:dyDescent="0.2">
      <c r="A295" s="472"/>
      <c r="C295" s="473"/>
      <c r="G295" s="474"/>
      <c r="H295" s="473"/>
      <c r="P295" s="459"/>
      <c r="Q295" s="459"/>
      <c r="R295" s="459"/>
      <c r="S295" s="459"/>
      <c r="T295" s="459"/>
      <c r="U295" s="459"/>
      <c r="V295" s="459"/>
      <c r="W295" s="459"/>
      <c r="X295" s="459"/>
      <c r="Y295" s="459"/>
      <c r="Z295" s="459"/>
      <c r="AA295" s="459"/>
      <c r="AB295" s="459"/>
      <c r="AC295" s="459"/>
      <c r="AD295" s="459"/>
      <c r="AE295" s="459"/>
      <c r="AF295" s="459"/>
      <c r="AG295" s="459"/>
      <c r="AH295" s="459"/>
      <c r="AI295" s="459"/>
      <c r="AJ295" s="459"/>
      <c r="AK295" s="459"/>
      <c r="AL295" s="459"/>
      <c r="AM295" s="459"/>
      <c r="AN295" s="459"/>
      <c r="AO295" s="459"/>
      <c r="AP295" s="459"/>
      <c r="AQ295" s="459"/>
      <c r="AR295" s="459"/>
      <c r="AS295" s="459"/>
      <c r="AT295" s="459"/>
      <c r="AU295" s="459"/>
      <c r="AV295" s="459"/>
      <c r="AW295" s="459"/>
      <c r="AX295" s="459"/>
      <c r="AY295" s="459"/>
      <c r="AZ295" s="459"/>
      <c r="BA295" s="459"/>
      <c r="BB295" s="459"/>
      <c r="BC295" s="459"/>
      <c r="BD295" s="459"/>
      <c r="BE295" s="459"/>
      <c r="BF295" s="459"/>
      <c r="BG295" s="459"/>
      <c r="BH295" s="459"/>
      <c r="BI295" s="459"/>
      <c r="BJ295" s="459"/>
      <c r="BK295" s="459"/>
      <c r="BL295" s="459"/>
      <c r="BM295" s="459"/>
      <c r="BN295" s="459"/>
      <c r="BO295" s="459"/>
      <c r="BP295" s="459"/>
      <c r="BQ295" s="459"/>
      <c r="BR295" s="459"/>
      <c r="BS295" s="459"/>
      <c r="BT295" s="459"/>
      <c r="BU295" s="459"/>
      <c r="BV295" s="459"/>
      <c r="BW295" s="459"/>
      <c r="BX295" s="459"/>
      <c r="BY295" s="459"/>
      <c r="BZ295" s="459"/>
      <c r="CA295" s="459"/>
      <c r="CB295" s="459"/>
      <c r="CC295" s="459"/>
    </row>
    <row r="296" spans="1:81" s="467" customFormat="1" x14ac:dyDescent="0.2">
      <c r="A296" s="472"/>
      <c r="C296" s="473"/>
      <c r="G296" s="474"/>
      <c r="H296" s="473"/>
      <c r="P296" s="459"/>
      <c r="Q296" s="459"/>
      <c r="R296" s="459"/>
      <c r="S296" s="459"/>
      <c r="T296" s="459"/>
      <c r="U296" s="459"/>
      <c r="V296" s="459"/>
      <c r="W296" s="459"/>
      <c r="X296" s="459"/>
      <c r="Y296" s="459"/>
      <c r="Z296" s="459"/>
      <c r="AA296" s="459"/>
      <c r="AB296" s="459"/>
      <c r="AC296" s="459"/>
      <c r="AD296" s="459"/>
      <c r="AE296" s="459"/>
      <c r="AF296" s="459"/>
      <c r="AG296" s="459"/>
      <c r="AH296" s="459"/>
      <c r="AI296" s="459"/>
      <c r="AJ296" s="459"/>
      <c r="AK296" s="459"/>
      <c r="AL296" s="459"/>
      <c r="AM296" s="459"/>
      <c r="AN296" s="459"/>
      <c r="AO296" s="459"/>
      <c r="AP296" s="459"/>
      <c r="AQ296" s="459"/>
      <c r="AR296" s="459"/>
      <c r="AS296" s="459"/>
      <c r="AT296" s="459"/>
      <c r="AU296" s="459"/>
      <c r="AV296" s="459"/>
      <c r="AW296" s="459"/>
      <c r="AX296" s="459"/>
      <c r="AY296" s="459"/>
      <c r="AZ296" s="459"/>
      <c r="BA296" s="459"/>
      <c r="BB296" s="459"/>
      <c r="BC296" s="459"/>
      <c r="BD296" s="459"/>
      <c r="BE296" s="459"/>
      <c r="BF296" s="459"/>
      <c r="BG296" s="459"/>
      <c r="BH296" s="459"/>
      <c r="BI296" s="459"/>
      <c r="BJ296" s="459"/>
      <c r="BK296" s="459"/>
      <c r="BL296" s="459"/>
      <c r="BM296" s="459"/>
      <c r="BN296" s="459"/>
      <c r="BO296" s="459"/>
      <c r="BP296" s="459"/>
      <c r="BQ296" s="459"/>
      <c r="BR296" s="459"/>
      <c r="BS296" s="459"/>
      <c r="BT296" s="459"/>
      <c r="BU296" s="459"/>
      <c r="BV296" s="459"/>
      <c r="BW296" s="459"/>
      <c r="BX296" s="459"/>
      <c r="BY296" s="459"/>
      <c r="BZ296" s="459"/>
      <c r="CA296" s="459"/>
      <c r="CB296" s="459"/>
      <c r="CC296" s="459"/>
    </row>
    <row r="297" spans="1:81" s="467" customFormat="1" x14ac:dyDescent="0.2">
      <c r="A297" s="472"/>
      <c r="C297" s="473"/>
      <c r="G297" s="474"/>
      <c r="H297" s="473"/>
      <c r="P297" s="459"/>
      <c r="Q297" s="459"/>
      <c r="R297" s="459"/>
      <c r="S297" s="459"/>
      <c r="T297" s="459"/>
      <c r="U297" s="459"/>
      <c r="V297" s="459"/>
      <c r="W297" s="459"/>
      <c r="X297" s="459"/>
      <c r="Y297" s="459"/>
      <c r="Z297" s="459"/>
      <c r="AA297" s="459"/>
      <c r="AB297" s="459"/>
      <c r="AC297" s="459"/>
      <c r="AD297" s="459"/>
      <c r="AE297" s="459"/>
      <c r="AF297" s="459"/>
      <c r="AG297" s="459"/>
      <c r="AH297" s="459"/>
      <c r="AI297" s="459"/>
      <c r="AJ297" s="459"/>
      <c r="AK297" s="459"/>
      <c r="AL297" s="459"/>
      <c r="AM297" s="459"/>
      <c r="AN297" s="459"/>
      <c r="AO297" s="459"/>
      <c r="AP297" s="459"/>
      <c r="AQ297" s="459"/>
      <c r="AR297" s="459"/>
      <c r="AS297" s="459"/>
      <c r="AT297" s="459"/>
      <c r="AU297" s="459"/>
      <c r="AV297" s="459"/>
      <c r="AW297" s="459"/>
      <c r="AX297" s="459"/>
      <c r="AY297" s="459"/>
      <c r="AZ297" s="459"/>
      <c r="BA297" s="459"/>
      <c r="BB297" s="459"/>
      <c r="BC297" s="459"/>
      <c r="BD297" s="459"/>
      <c r="BE297" s="459"/>
      <c r="BF297" s="459"/>
      <c r="BG297" s="459"/>
      <c r="BH297" s="459"/>
      <c r="BI297" s="459"/>
      <c r="BJ297" s="459"/>
      <c r="BK297" s="459"/>
      <c r="BL297" s="459"/>
      <c r="BM297" s="459"/>
      <c r="BN297" s="459"/>
      <c r="BO297" s="459"/>
      <c r="BP297" s="459"/>
      <c r="BQ297" s="459"/>
      <c r="BR297" s="459"/>
      <c r="BS297" s="459"/>
      <c r="BT297" s="459"/>
      <c r="BU297" s="459"/>
      <c r="BV297" s="459"/>
      <c r="BW297" s="459"/>
      <c r="BX297" s="459"/>
      <c r="BY297" s="459"/>
      <c r="BZ297" s="459"/>
      <c r="CA297" s="459"/>
      <c r="CB297" s="459"/>
      <c r="CC297" s="459"/>
    </row>
    <row r="298" spans="1:81" s="467" customFormat="1" x14ac:dyDescent="0.2">
      <c r="A298" s="472"/>
      <c r="C298" s="473"/>
      <c r="G298" s="474"/>
      <c r="H298" s="473"/>
      <c r="P298" s="459"/>
      <c r="Q298" s="459"/>
      <c r="R298" s="459"/>
      <c r="S298" s="459"/>
      <c r="T298" s="459"/>
      <c r="U298" s="459"/>
      <c r="V298" s="459"/>
      <c r="W298" s="459"/>
      <c r="X298" s="459"/>
      <c r="Y298" s="459"/>
      <c r="Z298" s="459"/>
      <c r="AA298" s="459"/>
      <c r="AB298" s="459"/>
      <c r="AC298" s="459"/>
      <c r="AD298" s="459"/>
      <c r="AE298" s="459"/>
      <c r="AF298" s="459"/>
      <c r="AG298" s="459"/>
      <c r="AH298" s="459"/>
      <c r="AI298" s="459"/>
      <c r="AJ298" s="459"/>
      <c r="AK298" s="459"/>
      <c r="AL298" s="459"/>
      <c r="AM298" s="459"/>
      <c r="AN298" s="459"/>
      <c r="AO298" s="459"/>
      <c r="AP298" s="459"/>
      <c r="AQ298" s="459"/>
      <c r="AR298" s="459"/>
      <c r="AS298" s="459"/>
      <c r="AT298" s="459"/>
      <c r="AU298" s="459"/>
      <c r="AV298" s="459"/>
      <c r="AW298" s="459"/>
      <c r="AX298" s="459"/>
      <c r="AY298" s="459"/>
      <c r="AZ298" s="459"/>
      <c r="BA298" s="459"/>
      <c r="BB298" s="459"/>
      <c r="BC298" s="459"/>
      <c r="BD298" s="459"/>
      <c r="BE298" s="459"/>
      <c r="BF298" s="459"/>
      <c r="BG298" s="459"/>
      <c r="BH298" s="459"/>
      <c r="BI298" s="459"/>
      <c r="BJ298" s="459"/>
      <c r="BK298" s="459"/>
      <c r="BL298" s="459"/>
      <c r="BM298" s="459"/>
      <c r="BN298" s="459"/>
      <c r="BO298" s="459"/>
      <c r="BP298" s="459"/>
      <c r="BQ298" s="459"/>
      <c r="BR298" s="459"/>
      <c r="BS298" s="459"/>
      <c r="BT298" s="459"/>
      <c r="BU298" s="459"/>
      <c r="BV298" s="459"/>
      <c r="BW298" s="459"/>
      <c r="BX298" s="459"/>
      <c r="BY298" s="459"/>
      <c r="BZ298" s="459"/>
      <c r="CA298" s="459"/>
      <c r="CB298" s="459"/>
      <c r="CC298" s="459"/>
    </row>
    <row r="299" spans="1:81" s="467" customFormat="1" x14ac:dyDescent="0.2">
      <c r="A299" s="472"/>
      <c r="C299" s="473"/>
      <c r="G299" s="474"/>
      <c r="H299" s="473"/>
      <c r="P299" s="459"/>
      <c r="Q299" s="459"/>
      <c r="R299" s="459"/>
      <c r="S299" s="459"/>
      <c r="T299" s="459"/>
      <c r="U299" s="459"/>
      <c r="V299" s="459"/>
      <c r="W299" s="459"/>
      <c r="X299" s="459"/>
      <c r="Y299" s="459"/>
      <c r="Z299" s="459"/>
      <c r="AA299" s="459"/>
      <c r="AB299" s="459"/>
      <c r="AC299" s="459"/>
      <c r="AD299" s="459"/>
      <c r="AE299" s="459"/>
      <c r="AF299" s="459"/>
      <c r="AG299" s="459"/>
      <c r="AH299" s="459"/>
      <c r="AI299" s="459"/>
      <c r="AJ299" s="459"/>
      <c r="AK299" s="459"/>
      <c r="AL299" s="459"/>
      <c r="AM299" s="459"/>
      <c r="AN299" s="459"/>
      <c r="AO299" s="459"/>
      <c r="AP299" s="459"/>
      <c r="AQ299" s="459"/>
      <c r="AR299" s="459"/>
      <c r="AS299" s="459"/>
      <c r="AT299" s="459"/>
      <c r="AU299" s="459"/>
      <c r="AV299" s="459"/>
      <c r="AW299" s="459"/>
      <c r="AX299" s="459"/>
      <c r="AY299" s="459"/>
      <c r="AZ299" s="459"/>
      <c r="BA299" s="459"/>
      <c r="BB299" s="459"/>
      <c r="BC299" s="459"/>
      <c r="BD299" s="459"/>
      <c r="BE299" s="459"/>
      <c r="BF299" s="459"/>
      <c r="BG299" s="459"/>
      <c r="BH299" s="459"/>
      <c r="BI299" s="459"/>
      <c r="BJ299" s="459"/>
      <c r="BK299" s="459"/>
      <c r="BL299" s="459"/>
      <c r="BM299" s="459"/>
      <c r="BN299" s="459"/>
      <c r="BO299" s="459"/>
      <c r="BP299" s="459"/>
      <c r="BQ299" s="459"/>
      <c r="BR299" s="459"/>
      <c r="BS299" s="459"/>
      <c r="BT299" s="459"/>
      <c r="BU299" s="459"/>
      <c r="BV299" s="459"/>
      <c r="BW299" s="459"/>
      <c r="BX299" s="459"/>
      <c r="BY299" s="459"/>
      <c r="BZ299" s="459"/>
      <c r="CA299" s="459"/>
      <c r="CB299" s="459"/>
      <c r="CC299" s="459"/>
    </row>
    <row r="300" spans="1:81" s="467" customFormat="1" x14ac:dyDescent="0.2">
      <c r="A300" s="472"/>
      <c r="C300" s="473"/>
      <c r="G300" s="474"/>
      <c r="H300" s="473"/>
      <c r="P300" s="459"/>
      <c r="Q300" s="459"/>
      <c r="R300" s="459"/>
      <c r="S300" s="459"/>
      <c r="T300" s="459"/>
      <c r="U300" s="459"/>
      <c r="V300" s="459"/>
      <c r="W300" s="459"/>
      <c r="X300" s="459"/>
      <c r="Y300" s="459"/>
      <c r="Z300" s="459"/>
      <c r="AA300" s="459"/>
      <c r="AB300" s="459"/>
      <c r="AC300" s="459"/>
      <c r="AD300" s="459"/>
      <c r="AE300" s="459"/>
      <c r="AF300" s="459"/>
      <c r="AG300" s="459"/>
      <c r="AH300" s="459"/>
      <c r="AI300" s="459"/>
      <c r="AJ300" s="459"/>
      <c r="AK300" s="459"/>
      <c r="AL300" s="459"/>
      <c r="AM300" s="459"/>
      <c r="AN300" s="459"/>
      <c r="AO300" s="459"/>
      <c r="AP300" s="459"/>
      <c r="AQ300" s="459"/>
      <c r="AR300" s="459"/>
      <c r="AS300" s="459"/>
      <c r="AT300" s="459"/>
      <c r="AU300" s="459"/>
      <c r="AV300" s="459"/>
      <c r="AW300" s="459"/>
      <c r="AX300" s="459"/>
      <c r="AY300" s="459"/>
      <c r="AZ300" s="459"/>
      <c r="BA300" s="459"/>
      <c r="BB300" s="459"/>
      <c r="BC300" s="459"/>
      <c r="BD300" s="459"/>
      <c r="BE300" s="459"/>
      <c r="BF300" s="459"/>
      <c r="BG300" s="459"/>
      <c r="BH300" s="459"/>
      <c r="BI300" s="459"/>
      <c r="BJ300" s="459"/>
      <c r="BK300" s="459"/>
      <c r="BL300" s="459"/>
      <c r="BM300" s="459"/>
      <c r="BN300" s="459"/>
      <c r="BO300" s="459"/>
      <c r="BP300" s="459"/>
      <c r="BQ300" s="459"/>
      <c r="BR300" s="459"/>
      <c r="BS300" s="459"/>
      <c r="BT300" s="459"/>
      <c r="BU300" s="459"/>
      <c r="BV300" s="459"/>
      <c r="BW300" s="459"/>
      <c r="BX300" s="459"/>
      <c r="BY300" s="459"/>
      <c r="BZ300" s="459"/>
      <c r="CA300" s="459"/>
      <c r="CB300" s="459"/>
      <c r="CC300" s="459"/>
    </row>
    <row r="301" spans="1:81" s="467" customFormat="1" x14ac:dyDescent="0.2">
      <c r="A301" s="472"/>
      <c r="C301" s="473"/>
      <c r="G301" s="474"/>
      <c r="H301" s="473"/>
      <c r="P301" s="459"/>
      <c r="Q301" s="459"/>
      <c r="R301" s="459"/>
      <c r="S301" s="459"/>
      <c r="T301" s="459"/>
      <c r="U301" s="459"/>
      <c r="V301" s="459"/>
      <c r="W301" s="459"/>
      <c r="X301" s="459"/>
      <c r="Y301" s="459"/>
      <c r="Z301" s="459"/>
      <c r="AA301" s="459"/>
      <c r="AB301" s="459"/>
      <c r="AC301" s="459"/>
      <c r="AD301" s="459"/>
      <c r="AE301" s="459"/>
      <c r="AF301" s="459"/>
      <c r="AG301" s="459"/>
      <c r="AH301" s="459"/>
      <c r="AI301" s="459"/>
      <c r="AJ301" s="459"/>
      <c r="AK301" s="459"/>
      <c r="AL301" s="459"/>
      <c r="AM301" s="459"/>
      <c r="AN301" s="459"/>
      <c r="AO301" s="459"/>
      <c r="AP301" s="459"/>
      <c r="AQ301" s="459"/>
      <c r="AR301" s="459"/>
      <c r="AS301" s="459"/>
      <c r="AT301" s="459"/>
      <c r="AU301" s="459"/>
      <c r="AV301" s="459"/>
      <c r="AW301" s="459"/>
      <c r="AX301" s="459"/>
      <c r="AY301" s="459"/>
      <c r="AZ301" s="459"/>
      <c r="BA301" s="459"/>
      <c r="BB301" s="459"/>
      <c r="BC301" s="459"/>
      <c r="BD301" s="459"/>
      <c r="BE301" s="459"/>
      <c r="BF301" s="459"/>
      <c r="BG301" s="459"/>
      <c r="BH301" s="459"/>
      <c r="BI301" s="459"/>
      <c r="BJ301" s="459"/>
      <c r="BK301" s="459"/>
      <c r="BL301" s="459"/>
      <c r="BM301" s="459"/>
      <c r="BN301" s="459"/>
      <c r="BO301" s="459"/>
      <c r="BP301" s="459"/>
      <c r="BQ301" s="459"/>
      <c r="BR301" s="459"/>
      <c r="BS301" s="459"/>
      <c r="BT301" s="459"/>
      <c r="BU301" s="459"/>
      <c r="BV301" s="459"/>
      <c r="BW301" s="459"/>
      <c r="BX301" s="459"/>
      <c r="BY301" s="459"/>
      <c r="BZ301" s="459"/>
      <c r="CA301" s="459"/>
      <c r="CB301" s="459"/>
      <c r="CC301" s="459"/>
    </row>
    <row r="302" spans="1:81" s="467" customFormat="1" x14ac:dyDescent="0.2">
      <c r="A302" s="472"/>
      <c r="C302" s="473"/>
      <c r="G302" s="474"/>
      <c r="H302" s="473"/>
      <c r="P302" s="459"/>
      <c r="Q302" s="459"/>
      <c r="R302" s="459"/>
      <c r="S302" s="459"/>
      <c r="T302" s="459"/>
      <c r="U302" s="459"/>
      <c r="V302" s="459"/>
      <c r="W302" s="459"/>
      <c r="X302" s="459"/>
      <c r="Y302" s="459"/>
      <c r="Z302" s="459"/>
      <c r="AA302" s="459"/>
      <c r="AB302" s="459"/>
      <c r="AC302" s="459"/>
      <c r="AD302" s="459"/>
      <c r="AE302" s="459"/>
      <c r="AF302" s="459"/>
      <c r="AG302" s="459"/>
      <c r="AH302" s="459"/>
      <c r="AI302" s="459"/>
      <c r="AJ302" s="459"/>
      <c r="AK302" s="459"/>
      <c r="AL302" s="459"/>
      <c r="AM302" s="459"/>
      <c r="AN302" s="459"/>
      <c r="AO302" s="459"/>
      <c r="AP302" s="459"/>
      <c r="AQ302" s="459"/>
      <c r="AR302" s="459"/>
      <c r="AS302" s="459"/>
      <c r="AT302" s="459"/>
      <c r="AU302" s="459"/>
      <c r="AV302" s="459"/>
      <c r="AW302" s="459"/>
      <c r="AX302" s="459"/>
      <c r="AY302" s="459"/>
      <c r="AZ302" s="459"/>
      <c r="BA302" s="459"/>
      <c r="BB302" s="459"/>
      <c r="BC302" s="459"/>
      <c r="BD302" s="459"/>
      <c r="BE302" s="459"/>
      <c r="BF302" s="459"/>
      <c r="BG302" s="459"/>
      <c r="BH302" s="459"/>
      <c r="BI302" s="459"/>
      <c r="BJ302" s="459"/>
      <c r="BK302" s="459"/>
      <c r="BL302" s="459"/>
      <c r="BM302" s="459"/>
      <c r="BN302" s="459"/>
      <c r="BO302" s="459"/>
      <c r="BP302" s="459"/>
      <c r="BQ302" s="459"/>
      <c r="BR302" s="459"/>
      <c r="BS302" s="459"/>
      <c r="BT302" s="459"/>
      <c r="BU302" s="459"/>
      <c r="BV302" s="459"/>
      <c r="BW302" s="459"/>
      <c r="BX302" s="459"/>
      <c r="BY302" s="459"/>
      <c r="BZ302" s="459"/>
      <c r="CA302" s="459"/>
      <c r="CB302" s="459"/>
      <c r="CC302" s="459"/>
    </row>
    <row r="303" spans="1:81" s="467" customFormat="1" x14ac:dyDescent="0.2">
      <c r="A303" s="472"/>
      <c r="C303" s="473"/>
      <c r="G303" s="474"/>
      <c r="H303" s="473"/>
      <c r="P303" s="459"/>
      <c r="Q303" s="459"/>
      <c r="R303" s="459"/>
      <c r="S303" s="459"/>
      <c r="T303" s="459"/>
      <c r="U303" s="459"/>
      <c r="V303" s="459"/>
      <c r="W303" s="459"/>
      <c r="X303" s="459"/>
      <c r="Y303" s="459"/>
      <c r="Z303" s="459"/>
      <c r="AA303" s="459"/>
      <c r="AB303" s="459"/>
      <c r="AC303" s="459"/>
      <c r="AD303" s="459"/>
      <c r="AE303" s="459"/>
      <c r="AF303" s="459"/>
      <c r="AG303" s="459"/>
      <c r="AH303" s="459"/>
      <c r="AI303" s="459"/>
      <c r="AJ303" s="459"/>
      <c r="AK303" s="459"/>
      <c r="AL303" s="459"/>
      <c r="AM303" s="459"/>
      <c r="AN303" s="459"/>
      <c r="AO303" s="459"/>
      <c r="AP303" s="459"/>
      <c r="AQ303" s="459"/>
      <c r="AR303" s="459"/>
      <c r="AS303" s="459"/>
      <c r="AT303" s="459"/>
      <c r="AU303" s="459"/>
      <c r="AV303" s="459"/>
      <c r="AW303" s="459"/>
      <c r="AX303" s="459"/>
      <c r="AY303" s="459"/>
      <c r="AZ303" s="459"/>
      <c r="BA303" s="459"/>
      <c r="BB303" s="459"/>
      <c r="BC303" s="459"/>
      <c r="BD303" s="459"/>
      <c r="BE303" s="459"/>
      <c r="BF303" s="459"/>
      <c r="BG303" s="459"/>
      <c r="BH303" s="459"/>
      <c r="BI303" s="459"/>
      <c r="BJ303" s="459"/>
      <c r="BK303" s="459"/>
      <c r="BL303" s="459"/>
      <c r="BM303" s="459"/>
      <c r="BN303" s="459"/>
      <c r="BO303" s="459"/>
      <c r="BP303" s="459"/>
      <c r="BQ303" s="459"/>
      <c r="BR303" s="459"/>
      <c r="BS303" s="459"/>
      <c r="BT303" s="459"/>
      <c r="BU303" s="459"/>
      <c r="BV303" s="459"/>
      <c r="BW303" s="459"/>
      <c r="BX303" s="459"/>
      <c r="BY303" s="459"/>
      <c r="BZ303" s="459"/>
      <c r="CA303" s="459"/>
      <c r="CB303" s="459"/>
      <c r="CC303" s="459"/>
    </row>
    <row r="304" spans="1:81" s="467" customFormat="1" x14ac:dyDescent="0.2">
      <c r="A304" s="472"/>
      <c r="C304" s="473"/>
      <c r="G304" s="474"/>
      <c r="H304" s="473"/>
      <c r="P304" s="459"/>
      <c r="Q304" s="459"/>
      <c r="R304" s="459"/>
      <c r="S304" s="459"/>
      <c r="T304" s="459"/>
      <c r="U304" s="459"/>
      <c r="V304" s="459"/>
      <c r="W304" s="459"/>
      <c r="X304" s="459"/>
      <c r="Y304" s="459"/>
      <c r="Z304" s="459"/>
      <c r="AA304" s="459"/>
      <c r="AB304" s="459"/>
      <c r="AC304" s="459"/>
      <c r="AD304" s="459"/>
      <c r="AE304" s="459"/>
      <c r="AF304" s="459"/>
      <c r="AG304" s="459"/>
      <c r="AH304" s="459"/>
      <c r="AI304" s="459"/>
      <c r="AJ304" s="459"/>
      <c r="AK304" s="459"/>
      <c r="AL304" s="459"/>
      <c r="AM304" s="459"/>
      <c r="AN304" s="459"/>
      <c r="AO304" s="459"/>
      <c r="AP304" s="459"/>
      <c r="AQ304" s="459"/>
      <c r="AR304" s="459"/>
      <c r="AS304" s="459"/>
      <c r="AT304" s="459"/>
      <c r="AU304" s="459"/>
      <c r="AV304" s="459"/>
      <c r="AW304" s="459"/>
      <c r="AX304" s="459"/>
      <c r="AY304" s="459"/>
      <c r="AZ304" s="459"/>
      <c r="BA304" s="459"/>
      <c r="BB304" s="459"/>
      <c r="BC304" s="459"/>
      <c r="BD304" s="459"/>
      <c r="BE304" s="459"/>
      <c r="BF304" s="459"/>
      <c r="BG304" s="459"/>
      <c r="BH304" s="459"/>
      <c r="BI304" s="459"/>
      <c r="BJ304" s="459"/>
      <c r="BK304" s="459"/>
      <c r="BL304" s="459"/>
      <c r="BM304" s="459"/>
      <c r="BN304" s="459"/>
      <c r="BO304" s="459"/>
      <c r="BP304" s="459"/>
      <c r="BQ304" s="459"/>
      <c r="BR304" s="459"/>
      <c r="BS304" s="459"/>
      <c r="BT304" s="459"/>
      <c r="BU304" s="459"/>
      <c r="BV304" s="459"/>
      <c r="BW304" s="459"/>
      <c r="BX304" s="459"/>
      <c r="BY304" s="459"/>
      <c r="BZ304" s="459"/>
      <c r="CA304" s="459"/>
      <c r="CB304" s="459"/>
      <c r="CC304" s="459"/>
    </row>
    <row r="305" spans="1:81" s="467" customFormat="1" x14ac:dyDescent="0.2">
      <c r="A305" s="472"/>
      <c r="C305" s="473"/>
      <c r="G305" s="474"/>
      <c r="H305" s="473"/>
      <c r="P305" s="459"/>
      <c r="Q305" s="459"/>
      <c r="R305" s="459"/>
      <c r="S305" s="459"/>
      <c r="T305" s="459"/>
      <c r="U305" s="459"/>
      <c r="V305" s="459"/>
      <c r="W305" s="459"/>
      <c r="X305" s="459"/>
      <c r="Y305" s="459"/>
      <c r="Z305" s="459"/>
      <c r="AA305" s="459"/>
      <c r="AB305" s="459"/>
      <c r="AC305" s="459"/>
      <c r="AD305" s="459"/>
      <c r="AE305" s="459"/>
      <c r="AF305" s="459"/>
      <c r="AG305" s="459"/>
      <c r="AH305" s="459"/>
      <c r="AI305" s="459"/>
      <c r="AJ305" s="459"/>
      <c r="AK305" s="459"/>
      <c r="AL305" s="459"/>
      <c r="AM305" s="459"/>
      <c r="AN305" s="459"/>
      <c r="AO305" s="459"/>
      <c r="AP305" s="459"/>
      <c r="AQ305" s="459"/>
      <c r="AR305" s="459"/>
      <c r="AS305" s="459"/>
      <c r="AT305" s="459"/>
      <c r="AU305" s="459"/>
      <c r="AV305" s="459"/>
      <c r="AW305" s="459"/>
      <c r="AX305" s="459"/>
      <c r="AY305" s="459"/>
      <c r="AZ305" s="459"/>
      <c r="BA305" s="459"/>
      <c r="BB305" s="459"/>
      <c r="BC305" s="459"/>
      <c r="BD305" s="459"/>
      <c r="BE305" s="459"/>
      <c r="BF305" s="459"/>
      <c r="BG305" s="459"/>
      <c r="BH305" s="459"/>
      <c r="BI305" s="459"/>
      <c r="BJ305" s="459"/>
      <c r="BK305" s="459"/>
      <c r="BL305" s="459"/>
      <c r="BM305" s="459"/>
      <c r="BN305" s="459"/>
      <c r="BO305" s="459"/>
      <c r="BP305" s="459"/>
      <c r="BQ305" s="459"/>
      <c r="BR305" s="459"/>
      <c r="BS305" s="459"/>
      <c r="BT305" s="459"/>
      <c r="BU305" s="459"/>
      <c r="BV305" s="459"/>
      <c r="BW305" s="459"/>
      <c r="BX305" s="459"/>
      <c r="BY305" s="459"/>
      <c r="BZ305" s="459"/>
      <c r="CA305" s="459"/>
      <c r="CB305" s="459"/>
      <c r="CC305" s="459"/>
    </row>
    <row r="306" spans="1:81" s="467" customFormat="1" x14ac:dyDescent="0.2">
      <c r="A306" s="472"/>
      <c r="C306" s="473"/>
      <c r="G306" s="474"/>
      <c r="H306" s="473"/>
      <c r="P306" s="459"/>
      <c r="Q306" s="459"/>
      <c r="R306" s="459"/>
      <c r="S306" s="459"/>
      <c r="T306" s="459"/>
      <c r="U306" s="459"/>
      <c r="V306" s="459"/>
      <c r="W306" s="459"/>
      <c r="X306" s="459"/>
      <c r="Y306" s="459"/>
      <c r="Z306" s="459"/>
      <c r="AA306" s="459"/>
      <c r="AB306" s="459"/>
      <c r="AC306" s="459"/>
      <c r="AD306" s="459"/>
      <c r="AE306" s="459"/>
      <c r="AF306" s="459"/>
      <c r="AG306" s="459"/>
      <c r="AH306" s="459"/>
      <c r="AI306" s="459"/>
      <c r="AJ306" s="459"/>
      <c r="AK306" s="459"/>
      <c r="AL306" s="459"/>
      <c r="AM306" s="459"/>
      <c r="AN306" s="459"/>
      <c r="AO306" s="459"/>
      <c r="AP306" s="459"/>
      <c r="AQ306" s="459"/>
      <c r="AR306" s="459"/>
      <c r="AS306" s="459"/>
      <c r="AT306" s="459"/>
      <c r="AU306" s="459"/>
      <c r="AV306" s="459"/>
      <c r="AW306" s="459"/>
      <c r="AX306" s="459"/>
      <c r="AY306" s="459"/>
      <c r="AZ306" s="459"/>
      <c r="BA306" s="459"/>
      <c r="BB306" s="459"/>
      <c r="BC306" s="459"/>
      <c r="BD306" s="459"/>
      <c r="BE306" s="459"/>
      <c r="BF306" s="459"/>
      <c r="BG306" s="459"/>
      <c r="BH306" s="459"/>
      <c r="BI306" s="459"/>
      <c r="BJ306" s="459"/>
      <c r="BK306" s="459"/>
      <c r="BL306" s="459"/>
      <c r="BM306" s="459"/>
      <c r="BN306" s="459"/>
      <c r="BO306" s="459"/>
      <c r="BP306" s="459"/>
      <c r="BQ306" s="459"/>
      <c r="BR306" s="459"/>
      <c r="BS306" s="459"/>
      <c r="BT306" s="459"/>
      <c r="BU306" s="459"/>
      <c r="BV306" s="459"/>
      <c r="BW306" s="459"/>
      <c r="BX306" s="459"/>
      <c r="BY306" s="459"/>
      <c r="BZ306" s="459"/>
      <c r="CA306" s="459"/>
      <c r="CB306" s="459"/>
      <c r="CC306" s="459"/>
    </row>
    <row r="307" spans="1:81" s="467" customFormat="1" x14ac:dyDescent="0.2">
      <c r="A307" s="472"/>
      <c r="C307" s="473"/>
      <c r="G307" s="474"/>
      <c r="H307" s="473"/>
      <c r="P307" s="459"/>
      <c r="Q307" s="459"/>
      <c r="R307" s="459"/>
      <c r="S307" s="459"/>
      <c r="T307" s="459"/>
      <c r="U307" s="459"/>
      <c r="V307" s="459"/>
      <c r="W307" s="459"/>
      <c r="X307" s="459"/>
      <c r="Y307" s="459"/>
      <c r="Z307" s="459"/>
      <c r="AA307" s="459"/>
      <c r="AB307" s="459"/>
      <c r="AC307" s="459"/>
      <c r="AD307" s="459"/>
      <c r="AE307" s="459"/>
      <c r="AF307" s="459"/>
      <c r="AG307" s="459"/>
      <c r="AH307" s="459"/>
      <c r="AI307" s="459"/>
      <c r="AJ307" s="459"/>
      <c r="AK307" s="459"/>
      <c r="AL307" s="459"/>
      <c r="AM307" s="459"/>
      <c r="AN307" s="459"/>
      <c r="AO307" s="459"/>
      <c r="AP307" s="459"/>
      <c r="AQ307" s="459"/>
      <c r="AR307" s="459"/>
      <c r="AS307" s="459"/>
      <c r="AT307" s="459"/>
      <c r="AU307" s="459"/>
      <c r="AV307" s="459"/>
      <c r="AW307" s="459"/>
      <c r="AX307" s="459"/>
      <c r="AY307" s="459"/>
      <c r="AZ307" s="459"/>
      <c r="BA307" s="459"/>
      <c r="BB307" s="459"/>
      <c r="BC307" s="459"/>
      <c r="BD307" s="459"/>
      <c r="BE307" s="459"/>
      <c r="BF307" s="459"/>
      <c r="BG307" s="459"/>
      <c r="BH307" s="459"/>
      <c r="BI307" s="459"/>
      <c r="BJ307" s="459"/>
      <c r="BK307" s="459"/>
      <c r="BL307" s="459"/>
      <c r="BM307" s="459"/>
      <c r="BN307" s="459"/>
      <c r="BO307" s="459"/>
      <c r="BP307" s="459"/>
      <c r="BQ307" s="459"/>
      <c r="BR307" s="459"/>
      <c r="BS307" s="459"/>
      <c r="BT307" s="459"/>
      <c r="BU307" s="459"/>
      <c r="BV307" s="459"/>
      <c r="BW307" s="459"/>
      <c r="BX307" s="459"/>
      <c r="BY307" s="459"/>
      <c r="BZ307" s="459"/>
      <c r="CA307" s="459"/>
      <c r="CB307" s="459"/>
      <c r="CC307" s="459"/>
    </row>
    <row r="308" spans="1:81" s="467" customFormat="1" x14ac:dyDescent="0.2">
      <c r="A308" s="472"/>
      <c r="C308" s="473"/>
      <c r="G308" s="474"/>
      <c r="H308" s="473"/>
      <c r="P308" s="459"/>
      <c r="Q308" s="459"/>
      <c r="R308" s="459"/>
      <c r="S308" s="459"/>
      <c r="T308" s="459"/>
      <c r="U308" s="459"/>
      <c r="V308" s="459"/>
      <c r="W308" s="459"/>
      <c r="X308" s="459"/>
      <c r="Y308" s="459"/>
      <c r="Z308" s="459"/>
      <c r="AA308" s="459"/>
      <c r="AB308" s="459"/>
      <c r="AC308" s="459"/>
      <c r="AD308" s="459"/>
      <c r="AE308" s="459"/>
      <c r="AF308" s="459"/>
      <c r="AG308" s="459"/>
      <c r="AH308" s="459"/>
      <c r="AI308" s="459"/>
      <c r="AJ308" s="459"/>
      <c r="AK308" s="459"/>
      <c r="AL308" s="459"/>
      <c r="AM308" s="459"/>
      <c r="AN308" s="459"/>
      <c r="AO308" s="459"/>
      <c r="AP308" s="459"/>
      <c r="AQ308" s="459"/>
      <c r="AR308" s="459"/>
      <c r="AS308" s="459"/>
      <c r="AT308" s="459"/>
      <c r="AU308" s="459"/>
      <c r="AV308" s="459"/>
      <c r="AW308" s="459"/>
      <c r="AX308" s="459"/>
      <c r="AY308" s="459"/>
      <c r="AZ308" s="459"/>
      <c r="BA308" s="459"/>
      <c r="BB308" s="459"/>
      <c r="BC308" s="459"/>
      <c r="BD308" s="459"/>
      <c r="BE308" s="459"/>
      <c r="BF308" s="459"/>
      <c r="BG308" s="459"/>
      <c r="BH308" s="459"/>
      <c r="BI308" s="459"/>
      <c r="BJ308" s="459"/>
      <c r="BK308" s="459"/>
      <c r="BL308" s="459"/>
      <c r="BM308" s="459"/>
      <c r="BN308" s="459"/>
      <c r="BO308" s="459"/>
      <c r="BP308" s="459"/>
      <c r="BQ308" s="459"/>
      <c r="BR308" s="459"/>
      <c r="BS308" s="459"/>
      <c r="BT308" s="459"/>
      <c r="BU308" s="459"/>
      <c r="BV308" s="459"/>
      <c r="BW308" s="459"/>
      <c r="BX308" s="459"/>
      <c r="BY308" s="459"/>
      <c r="BZ308" s="459"/>
      <c r="CA308" s="459"/>
      <c r="CB308" s="459"/>
      <c r="CC308" s="459"/>
    </row>
    <row r="309" spans="1:81" s="467" customFormat="1" x14ac:dyDescent="0.2">
      <c r="A309" s="472"/>
      <c r="C309" s="473"/>
      <c r="G309" s="474"/>
      <c r="H309" s="473"/>
      <c r="P309" s="459"/>
      <c r="Q309" s="459"/>
      <c r="R309" s="459"/>
      <c r="S309" s="459"/>
      <c r="T309" s="459"/>
      <c r="U309" s="459"/>
      <c r="V309" s="459"/>
      <c r="W309" s="459"/>
      <c r="X309" s="459"/>
      <c r="Y309" s="459"/>
      <c r="Z309" s="459"/>
      <c r="AA309" s="459"/>
      <c r="AB309" s="459"/>
      <c r="AC309" s="459"/>
      <c r="AD309" s="459"/>
      <c r="AE309" s="459"/>
      <c r="AF309" s="459"/>
      <c r="AG309" s="459"/>
      <c r="AH309" s="459"/>
      <c r="AI309" s="459"/>
      <c r="AJ309" s="459"/>
      <c r="AK309" s="459"/>
      <c r="AL309" s="459"/>
      <c r="AM309" s="459"/>
      <c r="AN309" s="459"/>
      <c r="AO309" s="459"/>
      <c r="AP309" s="459"/>
      <c r="AQ309" s="459"/>
      <c r="AR309" s="459"/>
      <c r="AS309" s="459"/>
      <c r="AT309" s="459"/>
      <c r="AU309" s="459"/>
      <c r="AV309" s="459"/>
      <c r="AW309" s="459"/>
      <c r="AX309" s="459"/>
      <c r="AY309" s="459"/>
      <c r="AZ309" s="459"/>
      <c r="BA309" s="459"/>
      <c r="BB309" s="459"/>
      <c r="BC309" s="459"/>
      <c r="BD309" s="459"/>
      <c r="BE309" s="459"/>
      <c r="BF309" s="459"/>
      <c r="BG309" s="459"/>
      <c r="BH309" s="459"/>
      <c r="BI309" s="459"/>
      <c r="BJ309" s="459"/>
      <c r="BK309" s="459"/>
      <c r="BL309" s="459"/>
      <c r="BM309" s="459"/>
      <c r="BN309" s="459"/>
      <c r="BO309" s="459"/>
      <c r="BP309" s="459"/>
      <c r="BQ309" s="459"/>
      <c r="BR309" s="459"/>
      <c r="BS309" s="459"/>
      <c r="BT309" s="459"/>
      <c r="BU309" s="459"/>
      <c r="BV309" s="459"/>
      <c r="BW309" s="459"/>
      <c r="BX309" s="459"/>
      <c r="BY309" s="459"/>
      <c r="BZ309" s="459"/>
      <c r="CA309" s="459"/>
      <c r="CB309" s="459"/>
      <c r="CC309" s="459"/>
    </row>
    <row r="310" spans="1:81" s="467" customFormat="1" x14ac:dyDescent="0.2">
      <c r="A310" s="472"/>
      <c r="C310" s="473"/>
      <c r="G310" s="474"/>
      <c r="H310" s="473"/>
      <c r="P310" s="459"/>
      <c r="Q310" s="459"/>
      <c r="R310" s="459"/>
      <c r="S310" s="459"/>
      <c r="T310" s="459"/>
      <c r="U310" s="459"/>
      <c r="V310" s="459"/>
      <c r="W310" s="459"/>
      <c r="X310" s="459"/>
      <c r="Y310" s="459"/>
      <c r="Z310" s="459"/>
      <c r="AA310" s="459"/>
      <c r="AB310" s="459"/>
      <c r="AC310" s="459"/>
      <c r="AD310" s="459"/>
      <c r="AE310" s="459"/>
      <c r="AF310" s="459"/>
      <c r="AG310" s="459"/>
      <c r="AH310" s="459"/>
      <c r="AI310" s="459"/>
      <c r="AJ310" s="459"/>
      <c r="AK310" s="459"/>
      <c r="AL310" s="459"/>
      <c r="AM310" s="459"/>
      <c r="AN310" s="459"/>
      <c r="AO310" s="459"/>
      <c r="AP310" s="459"/>
      <c r="AQ310" s="459"/>
      <c r="AR310" s="459"/>
      <c r="AS310" s="459"/>
      <c r="AT310" s="459"/>
      <c r="AU310" s="459"/>
      <c r="AV310" s="459"/>
      <c r="AW310" s="459"/>
      <c r="AX310" s="459"/>
      <c r="AY310" s="459"/>
      <c r="AZ310" s="459"/>
      <c r="BA310" s="459"/>
      <c r="BB310" s="459"/>
      <c r="BC310" s="459"/>
      <c r="BD310" s="459"/>
      <c r="BE310" s="459"/>
      <c r="BF310" s="459"/>
      <c r="BG310" s="459"/>
      <c r="BH310" s="459"/>
      <c r="BI310" s="459"/>
      <c r="BJ310" s="459"/>
      <c r="BK310" s="459"/>
      <c r="BL310" s="459"/>
      <c r="BM310" s="459"/>
      <c r="BN310" s="459"/>
      <c r="BO310" s="459"/>
      <c r="BP310" s="459"/>
      <c r="BQ310" s="459"/>
      <c r="BR310" s="459"/>
      <c r="BS310" s="459"/>
      <c r="BT310" s="459"/>
      <c r="BU310" s="459"/>
      <c r="BV310" s="459"/>
      <c r="BW310" s="459"/>
      <c r="BX310" s="459"/>
      <c r="BY310" s="459"/>
      <c r="BZ310" s="459"/>
      <c r="CA310" s="459"/>
      <c r="CB310" s="459"/>
      <c r="CC310" s="459"/>
    </row>
    <row r="311" spans="1:81" s="467" customFormat="1" x14ac:dyDescent="0.2">
      <c r="A311" s="472"/>
      <c r="C311" s="473"/>
      <c r="G311" s="474"/>
      <c r="H311" s="473"/>
      <c r="P311" s="459"/>
      <c r="Q311" s="459"/>
      <c r="R311" s="459"/>
      <c r="S311" s="459"/>
      <c r="T311" s="459"/>
      <c r="U311" s="459"/>
      <c r="V311" s="459"/>
      <c r="W311" s="459"/>
      <c r="X311" s="459"/>
      <c r="Y311" s="459"/>
      <c r="Z311" s="459"/>
      <c r="AA311" s="459"/>
      <c r="AB311" s="459"/>
      <c r="AC311" s="459"/>
      <c r="AD311" s="459"/>
      <c r="AE311" s="459"/>
      <c r="AF311" s="459"/>
      <c r="AG311" s="459"/>
      <c r="AH311" s="459"/>
      <c r="AI311" s="459"/>
      <c r="AJ311" s="459"/>
      <c r="AK311" s="459"/>
      <c r="AL311" s="459"/>
      <c r="AM311" s="459"/>
      <c r="AN311" s="459"/>
      <c r="AO311" s="459"/>
      <c r="AP311" s="459"/>
      <c r="AQ311" s="459"/>
      <c r="AR311" s="459"/>
      <c r="AS311" s="459"/>
      <c r="AT311" s="459"/>
      <c r="AU311" s="459"/>
      <c r="AV311" s="459"/>
      <c r="AW311" s="459"/>
      <c r="AX311" s="459"/>
      <c r="AY311" s="459"/>
      <c r="AZ311" s="459"/>
      <c r="BA311" s="459"/>
      <c r="BB311" s="459"/>
      <c r="BC311" s="459"/>
      <c r="BD311" s="459"/>
      <c r="BE311" s="459"/>
      <c r="BF311" s="459"/>
      <c r="BG311" s="459"/>
      <c r="BH311" s="459"/>
      <c r="BI311" s="459"/>
      <c r="BJ311" s="459"/>
      <c r="BK311" s="459"/>
      <c r="BL311" s="459"/>
      <c r="BM311" s="459"/>
      <c r="BN311" s="459"/>
      <c r="BO311" s="459"/>
      <c r="BP311" s="459"/>
      <c r="BQ311" s="459"/>
      <c r="BR311" s="459"/>
      <c r="BS311" s="459"/>
      <c r="BT311" s="459"/>
      <c r="BU311" s="459"/>
      <c r="BV311" s="459"/>
      <c r="BW311" s="459"/>
      <c r="BX311" s="459"/>
      <c r="BY311" s="459"/>
      <c r="BZ311" s="459"/>
      <c r="CA311" s="459"/>
      <c r="CB311" s="459"/>
      <c r="CC311" s="459"/>
    </row>
    <row r="312" spans="1:81" s="467" customFormat="1" x14ac:dyDescent="0.2">
      <c r="A312" s="472"/>
      <c r="C312" s="473"/>
      <c r="G312" s="474"/>
      <c r="H312" s="473"/>
      <c r="P312" s="459"/>
      <c r="Q312" s="459"/>
      <c r="R312" s="459"/>
      <c r="S312" s="459"/>
      <c r="T312" s="459"/>
      <c r="U312" s="459"/>
      <c r="V312" s="459"/>
      <c r="W312" s="459"/>
      <c r="X312" s="459"/>
      <c r="Y312" s="459"/>
      <c r="Z312" s="459"/>
      <c r="AA312" s="459"/>
      <c r="AB312" s="459"/>
      <c r="AC312" s="459"/>
      <c r="AD312" s="459"/>
      <c r="AE312" s="459"/>
      <c r="AF312" s="459"/>
      <c r="AG312" s="459"/>
      <c r="AH312" s="459"/>
      <c r="AI312" s="459"/>
      <c r="AJ312" s="459"/>
      <c r="AK312" s="459"/>
      <c r="AL312" s="459"/>
      <c r="AM312" s="459"/>
      <c r="AN312" s="459"/>
      <c r="AO312" s="459"/>
      <c r="AP312" s="459"/>
      <c r="AQ312" s="459"/>
      <c r="AR312" s="459"/>
      <c r="AS312" s="459"/>
      <c r="AT312" s="459"/>
      <c r="AU312" s="459"/>
      <c r="AV312" s="459"/>
      <c r="AW312" s="459"/>
      <c r="AX312" s="459"/>
      <c r="AY312" s="459"/>
      <c r="AZ312" s="459"/>
      <c r="BA312" s="459"/>
      <c r="BB312" s="459"/>
      <c r="BC312" s="459"/>
      <c r="BD312" s="459"/>
      <c r="BE312" s="459"/>
      <c r="BF312" s="459"/>
      <c r="BG312" s="459"/>
      <c r="BH312" s="459"/>
      <c r="BI312" s="459"/>
      <c r="BJ312" s="459"/>
      <c r="BK312" s="459"/>
      <c r="BL312" s="459"/>
      <c r="BM312" s="459"/>
      <c r="BN312" s="459"/>
      <c r="BO312" s="459"/>
      <c r="BP312" s="459"/>
      <c r="BQ312" s="459"/>
      <c r="BR312" s="459"/>
      <c r="BS312" s="459"/>
      <c r="BT312" s="459"/>
      <c r="BU312" s="459"/>
      <c r="BV312" s="459"/>
      <c r="BW312" s="459"/>
      <c r="BX312" s="459"/>
      <c r="BY312" s="459"/>
      <c r="BZ312" s="459"/>
      <c r="CA312" s="459"/>
      <c r="CB312" s="459"/>
      <c r="CC312" s="459"/>
    </row>
    <row r="313" spans="1:81" s="467" customFormat="1" x14ac:dyDescent="0.2">
      <c r="A313" s="472"/>
      <c r="C313" s="473"/>
      <c r="G313" s="474"/>
      <c r="H313" s="473"/>
      <c r="P313" s="459"/>
      <c r="Q313" s="459"/>
      <c r="R313" s="459"/>
      <c r="S313" s="459"/>
      <c r="T313" s="459"/>
      <c r="U313" s="459"/>
      <c r="V313" s="459"/>
      <c r="W313" s="459"/>
      <c r="X313" s="459"/>
      <c r="Y313" s="459"/>
      <c r="Z313" s="459"/>
      <c r="AA313" s="459"/>
      <c r="AB313" s="459"/>
      <c r="AC313" s="459"/>
      <c r="AD313" s="459"/>
      <c r="AE313" s="459"/>
      <c r="AF313" s="459"/>
      <c r="AG313" s="459"/>
      <c r="AH313" s="459"/>
      <c r="AI313" s="459"/>
      <c r="AJ313" s="459"/>
      <c r="AK313" s="459"/>
      <c r="AL313" s="459"/>
      <c r="AM313" s="459"/>
      <c r="AN313" s="459"/>
      <c r="AO313" s="459"/>
      <c r="AP313" s="459"/>
      <c r="AQ313" s="459"/>
      <c r="AR313" s="459"/>
      <c r="AS313" s="459"/>
      <c r="AT313" s="459"/>
      <c r="AU313" s="459"/>
      <c r="AV313" s="459"/>
      <c r="AW313" s="459"/>
      <c r="AX313" s="459"/>
      <c r="AY313" s="459"/>
      <c r="AZ313" s="459"/>
      <c r="BA313" s="459"/>
      <c r="BB313" s="459"/>
      <c r="BC313" s="459"/>
      <c r="BD313" s="459"/>
      <c r="BE313" s="459"/>
      <c r="BF313" s="459"/>
      <c r="BG313" s="459"/>
      <c r="BH313" s="459"/>
      <c r="BI313" s="459"/>
      <c r="BJ313" s="459"/>
      <c r="BK313" s="459"/>
      <c r="BL313" s="459"/>
      <c r="BM313" s="459"/>
      <c r="BN313" s="459"/>
      <c r="BO313" s="459"/>
      <c r="BP313" s="459"/>
      <c r="BQ313" s="459"/>
      <c r="BR313" s="459"/>
      <c r="BS313" s="459"/>
      <c r="BT313" s="459"/>
      <c r="BU313" s="459"/>
      <c r="BV313" s="459"/>
      <c r="BW313" s="459"/>
      <c r="BX313" s="459"/>
      <c r="BY313" s="459"/>
      <c r="BZ313" s="459"/>
      <c r="CA313" s="459"/>
      <c r="CB313" s="459"/>
      <c r="CC313" s="459"/>
    </row>
    <row r="314" spans="1:81" s="467" customFormat="1" x14ac:dyDescent="0.2">
      <c r="A314" s="472"/>
      <c r="C314" s="473"/>
      <c r="G314" s="474"/>
      <c r="H314" s="473"/>
      <c r="P314" s="459"/>
      <c r="Q314" s="459"/>
      <c r="R314" s="459"/>
      <c r="S314" s="459"/>
      <c r="T314" s="459"/>
      <c r="U314" s="459"/>
      <c r="V314" s="459"/>
      <c r="W314" s="459"/>
      <c r="X314" s="459"/>
      <c r="Y314" s="459"/>
      <c r="Z314" s="459"/>
      <c r="AA314" s="459"/>
      <c r="AB314" s="459"/>
      <c r="AC314" s="459"/>
      <c r="AD314" s="459"/>
      <c r="AE314" s="459"/>
      <c r="AF314" s="459"/>
      <c r="AG314" s="459"/>
      <c r="AH314" s="459"/>
      <c r="AI314" s="459"/>
      <c r="AJ314" s="459"/>
      <c r="AK314" s="459"/>
      <c r="AL314" s="459"/>
      <c r="AM314" s="459"/>
      <c r="AN314" s="459"/>
      <c r="AO314" s="459"/>
      <c r="AP314" s="459"/>
      <c r="AQ314" s="459"/>
      <c r="AR314" s="459"/>
      <c r="AS314" s="459"/>
      <c r="AT314" s="459"/>
      <c r="AU314" s="459"/>
      <c r="AV314" s="459"/>
      <c r="AW314" s="459"/>
      <c r="AX314" s="459"/>
      <c r="AY314" s="459"/>
      <c r="AZ314" s="459"/>
      <c r="BA314" s="459"/>
      <c r="BB314" s="459"/>
      <c r="BC314" s="459"/>
      <c r="BD314" s="459"/>
      <c r="BE314" s="459"/>
      <c r="BF314" s="459"/>
      <c r="BG314" s="459"/>
      <c r="BH314" s="459"/>
      <c r="BI314" s="459"/>
      <c r="BJ314" s="459"/>
      <c r="BK314" s="459"/>
      <c r="BL314" s="459"/>
      <c r="BM314" s="459"/>
      <c r="BN314" s="459"/>
      <c r="BO314" s="459"/>
      <c r="BP314" s="459"/>
      <c r="BQ314" s="459"/>
      <c r="BR314" s="459"/>
      <c r="BS314" s="459"/>
      <c r="BT314" s="459"/>
      <c r="BU314" s="459"/>
      <c r="BV314" s="459"/>
      <c r="BW314" s="459"/>
      <c r="BX314" s="459"/>
      <c r="BY314" s="459"/>
      <c r="BZ314" s="459"/>
      <c r="CA314" s="459"/>
      <c r="CB314" s="459"/>
      <c r="CC314" s="459"/>
    </row>
    <row r="315" spans="1:81" s="467" customFormat="1" x14ac:dyDescent="0.2">
      <c r="A315" s="472"/>
      <c r="C315" s="473"/>
      <c r="G315" s="474"/>
      <c r="H315" s="473"/>
      <c r="P315" s="459"/>
      <c r="Q315" s="459"/>
      <c r="R315" s="459"/>
      <c r="S315" s="459"/>
      <c r="T315" s="459"/>
      <c r="U315" s="459"/>
      <c r="V315" s="459"/>
      <c r="W315" s="459"/>
      <c r="X315" s="459"/>
      <c r="Y315" s="459"/>
      <c r="Z315" s="459"/>
      <c r="AA315" s="459"/>
      <c r="AB315" s="459"/>
      <c r="AC315" s="459"/>
      <c r="AD315" s="459"/>
      <c r="AE315" s="459"/>
      <c r="AF315" s="459"/>
      <c r="AG315" s="459"/>
      <c r="AH315" s="459"/>
      <c r="AI315" s="459"/>
      <c r="AJ315" s="459"/>
      <c r="AK315" s="459"/>
      <c r="AL315" s="459"/>
      <c r="AM315" s="459"/>
      <c r="AN315" s="459"/>
      <c r="AO315" s="459"/>
      <c r="AP315" s="459"/>
      <c r="AQ315" s="459"/>
      <c r="AR315" s="459"/>
      <c r="AS315" s="459"/>
      <c r="AT315" s="459"/>
      <c r="AU315" s="459"/>
      <c r="AV315" s="459"/>
      <c r="AW315" s="459"/>
      <c r="AX315" s="459"/>
      <c r="AY315" s="459"/>
      <c r="AZ315" s="459"/>
      <c r="BA315" s="459"/>
      <c r="BB315" s="459"/>
      <c r="BC315" s="459"/>
      <c r="BD315" s="459"/>
      <c r="BE315" s="459"/>
      <c r="BF315" s="459"/>
      <c r="BG315" s="459"/>
      <c r="BH315" s="459"/>
      <c r="BI315" s="459"/>
      <c r="BJ315" s="459"/>
      <c r="BK315" s="459"/>
      <c r="BL315" s="459"/>
      <c r="BM315" s="459"/>
      <c r="BN315" s="459"/>
      <c r="BO315" s="459"/>
      <c r="BP315" s="459"/>
      <c r="BQ315" s="459"/>
      <c r="BR315" s="459"/>
      <c r="BS315" s="459"/>
      <c r="BT315" s="459"/>
      <c r="BU315" s="459"/>
      <c r="BV315" s="459"/>
      <c r="BW315" s="459"/>
      <c r="BX315" s="459"/>
      <c r="BY315" s="459"/>
      <c r="BZ315" s="459"/>
      <c r="CA315" s="459"/>
      <c r="CB315" s="459"/>
      <c r="CC315" s="459"/>
    </row>
    <row r="316" spans="1:81" s="467" customFormat="1" x14ac:dyDescent="0.2">
      <c r="A316" s="472"/>
      <c r="C316" s="473"/>
      <c r="G316" s="474"/>
      <c r="H316" s="473"/>
      <c r="P316" s="459"/>
      <c r="Q316" s="459"/>
      <c r="R316" s="459"/>
      <c r="S316" s="459"/>
      <c r="T316" s="459"/>
      <c r="U316" s="459"/>
      <c r="V316" s="459"/>
      <c r="W316" s="459"/>
      <c r="X316" s="459"/>
      <c r="Y316" s="459"/>
      <c r="Z316" s="459"/>
      <c r="AA316" s="459"/>
      <c r="AB316" s="459"/>
      <c r="AC316" s="459"/>
      <c r="AD316" s="459"/>
      <c r="AE316" s="459"/>
      <c r="AF316" s="459"/>
      <c r="AG316" s="459"/>
      <c r="AH316" s="459"/>
      <c r="AI316" s="459"/>
      <c r="AJ316" s="459"/>
      <c r="AK316" s="459"/>
      <c r="AL316" s="459"/>
      <c r="AM316" s="459"/>
      <c r="AN316" s="459"/>
      <c r="AO316" s="459"/>
      <c r="AP316" s="459"/>
      <c r="AQ316" s="459"/>
      <c r="AR316" s="459"/>
      <c r="AS316" s="459"/>
      <c r="AT316" s="459"/>
      <c r="AU316" s="459"/>
      <c r="AV316" s="459"/>
      <c r="AW316" s="459"/>
      <c r="AX316" s="459"/>
      <c r="AY316" s="459"/>
      <c r="AZ316" s="459"/>
      <c r="BA316" s="459"/>
      <c r="BB316" s="459"/>
      <c r="BC316" s="459"/>
      <c r="BD316" s="459"/>
      <c r="BE316" s="459"/>
      <c r="BF316" s="459"/>
      <c r="BG316" s="459"/>
      <c r="BH316" s="459"/>
      <c r="BI316" s="459"/>
      <c r="BJ316" s="459"/>
      <c r="BK316" s="459"/>
      <c r="BL316" s="459"/>
      <c r="BM316" s="459"/>
      <c r="BN316" s="459"/>
      <c r="BO316" s="459"/>
      <c r="BP316" s="459"/>
      <c r="BQ316" s="459"/>
      <c r="BR316" s="459"/>
      <c r="BS316" s="459"/>
      <c r="BT316" s="459"/>
      <c r="BU316" s="459"/>
      <c r="BV316" s="459"/>
      <c r="BW316" s="459"/>
      <c r="BX316" s="459"/>
      <c r="BY316" s="459"/>
      <c r="BZ316" s="459"/>
      <c r="CA316" s="459"/>
      <c r="CB316" s="459"/>
      <c r="CC316" s="459"/>
    </row>
    <row r="317" spans="1:81" s="467" customFormat="1" x14ac:dyDescent="0.2">
      <c r="A317" s="472"/>
      <c r="C317" s="473"/>
      <c r="G317" s="474"/>
      <c r="H317" s="473"/>
      <c r="P317" s="459"/>
      <c r="Q317" s="459"/>
      <c r="R317" s="459"/>
      <c r="S317" s="459"/>
      <c r="T317" s="459"/>
      <c r="U317" s="459"/>
      <c r="V317" s="459"/>
      <c r="W317" s="459"/>
      <c r="X317" s="459"/>
      <c r="Y317" s="459"/>
      <c r="Z317" s="459"/>
      <c r="AA317" s="459"/>
      <c r="AB317" s="459"/>
      <c r="AC317" s="459"/>
      <c r="AD317" s="459"/>
      <c r="AE317" s="459"/>
      <c r="AF317" s="459"/>
      <c r="AG317" s="459"/>
      <c r="AH317" s="459"/>
      <c r="AI317" s="459"/>
      <c r="AJ317" s="459"/>
      <c r="AK317" s="459"/>
      <c r="AL317" s="459"/>
      <c r="AM317" s="459"/>
      <c r="AN317" s="459"/>
      <c r="AO317" s="459"/>
      <c r="AP317" s="459"/>
      <c r="AQ317" s="459"/>
      <c r="AR317" s="459"/>
      <c r="AS317" s="459"/>
      <c r="AT317" s="459"/>
      <c r="AU317" s="459"/>
      <c r="AV317" s="459"/>
      <c r="AW317" s="459"/>
      <c r="AX317" s="459"/>
      <c r="AY317" s="459"/>
      <c r="AZ317" s="459"/>
      <c r="BA317" s="459"/>
      <c r="BB317" s="459"/>
      <c r="BC317" s="459"/>
      <c r="BD317" s="459"/>
      <c r="BE317" s="459"/>
      <c r="BF317" s="459"/>
      <c r="BG317" s="459"/>
      <c r="BH317" s="459"/>
      <c r="BI317" s="459"/>
      <c r="BJ317" s="459"/>
      <c r="BK317" s="459"/>
      <c r="BL317" s="459"/>
      <c r="BM317" s="459"/>
      <c r="BN317" s="459"/>
      <c r="BO317" s="459"/>
      <c r="BP317" s="459"/>
      <c r="BQ317" s="459"/>
      <c r="BR317" s="459"/>
      <c r="BS317" s="459"/>
      <c r="BT317" s="459"/>
      <c r="BU317" s="459"/>
      <c r="BV317" s="459"/>
      <c r="BW317" s="459"/>
      <c r="BX317" s="459"/>
      <c r="BY317" s="459"/>
      <c r="BZ317" s="459"/>
      <c r="CA317" s="459"/>
      <c r="CB317" s="459"/>
      <c r="CC317" s="459"/>
    </row>
    <row r="318" spans="1:81" s="467" customFormat="1" x14ac:dyDescent="0.2">
      <c r="A318" s="472"/>
      <c r="C318" s="473"/>
      <c r="G318" s="474"/>
      <c r="H318" s="473"/>
      <c r="P318" s="459"/>
      <c r="Q318" s="459"/>
      <c r="R318" s="459"/>
      <c r="S318" s="459"/>
      <c r="T318" s="459"/>
      <c r="U318" s="459"/>
      <c r="V318" s="459"/>
      <c r="W318" s="459"/>
      <c r="X318" s="459"/>
      <c r="Y318" s="459"/>
      <c r="Z318" s="459"/>
      <c r="AA318" s="459"/>
      <c r="AB318" s="459"/>
      <c r="AC318" s="459"/>
      <c r="AD318" s="459"/>
      <c r="AE318" s="459"/>
      <c r="AF318" s="459"/>
      <c r="AG318" s="459"/>
      <c r="AH318" s="459"/>
      <c r="AI318" s="459"/>
      <c r="AJ318" s="459"/>
      <c r="AK318" s="459"/>
      <c r="AL318" s="459"/>
      <c r="AM318" s="459"/>
      <c r="AN318" s="459"/>
      <c r="AO318" s="459"/>
      <c r="AP318" s="459"/>
      <c r="AQ318" s="459"/>
      <c r="AR318" s="459"/>
      <c r="AS318" s="459"/>
      <c r="AT318" s="459"/>
      <c r="AU318" s="459"/>
      <c r="AV318" s="459"/>
      <c r="AW318" s="459"/>
      <c r="AX318" s="459"/>
      <c r="AY318" s="459"/>
      <c r="AZ318" s="459"/>
      <c r="BA318" s="459"/>
      <c r="BB318" s="459"/>
      <c r="BC318" s="459"/>
      <c r="BD318" s="459"/>
      <c r="BE318" s="459"/>
      <c r="BF318" s="459"/>
      <c r="BG318" s="459"/>
      <c r="BH318" s="459"/>
      <c r="BI318" s="459"/>
      <c r="BJ318" s="459"/>
      <c r="BK318" s="459"/>
      <c r="BL318" s="459"/>
      <c r="BM318" s="459"/>
      <c r="BN318" s="459"/>
      <c r="BO318" s="459"/>
      <c r="BP318" s="459"/>
      <c r="BQ318" s="459"/>
      <c r="BR318" s="459"/>
      <c r="BS318" s="459"/>
      <c r="BT318" s="459"/>
      <c r="BU318" s="459"/>
      <c r="BV318" s="459"/>
      <c r="BW318" s="459"/>
      <c r="BX318" s="459"/>
      <c r="BY318" s="459"/>
      <c r="BZ318" s="459"/>
      <c r="CA318" s="459"/>
      <c r="CB318" s="459"/>
      <c r="CC318" s="459"/>
    </row>
    <row r="319" spans="1:81" s="467" customFormat="1" x14ac:dyDescent="0.2">
      <c r="A319" s="472"/>
      <c r="C319" s="473"/>
      <c r="G319" s="474"/>
      <c r="H319" s="473"/>
      <c r="P319" s="459"/>
      <c r="Q319" s="459"/>
      <c r="R319" s="459"/>
      <c r="S319" s="459"/>
      <c r="T319" s="459"/>
      <c r="U319" s="459"/>
      <c r="V319" s="459"/>
      <c r="W319" s="459"/>
      <c r="X319" s="459"/>
      <c r="Y319" s="459"/>
      <c r="Z319" s="459"/>
      <c r="AA319" s="459"/>
      <c r="AB319" s="459"/>
      <c r="AC319" s="459"/>
      <c r="AD319" s="459"/>
      <c r="AE319" s="459"/>
      <c r="AF319" s="459"/>
      <c r="AG319" s="459"/>
      <c r="AH319" s="459"/>
      <c r="AI319" s="459"/>
      <c r="AJ319" s="459"/>
      <c r="AK319" s="459"/>
      <c r="AL319" s="459"/>
      <c r="AM319" s="459"/>
      <c r="AN319" s="459"/>
      <c r="AO319" s="459"/>
      <c r="AP319" s="459"/>
      <c r="AQ319" s="459"/>
      <c r="AR319" s="459"/>
      <c r="AS319" s="459"/>
      <c r="AT319" s="459"/>
      <c r="AU319" s="459"/>
      <c r="AV319" s="459"/>
      <c r="AW319" s="459"/>
      <c r="AX319" s="459"/>
      <c r="AY319" s="459"/>
      <c r="AZ319" s="459"/>
      <c r="BA319" s="459"/>
      <c r="BB319" s="459"/>
      <c r="BC319" s="459"/>
      <c r="BD319" s="459"/>
      <c r="BE319" s="459"/>
      <c r="BF319" s="459"/>
      <c r="BG319" s="459"/>
      <c r="BH319" s="459"/>
      <c r="BI319" s="459"/>
      <c r="BJ319" s="459"/>
      <c r="BK319" s="459"/>
      <c r="BL319" s="459"/>
      <c r="BM319" s="459"/>
      <c r="BN319" s="459"/>
      <c r="BO319" s="459"/>
      <c r="BP319" s="459"/>
      <c r="BQ319" s="459"/>
      <c r="BR319" s="459"/>
      <c r="BS319" s="459"/>
      <c r="BT319" s="459"/>
      <c r="BU319" s="459"/>
      <c r="BV319" s="459"/>
      <c r="BW319" s="459"/>
      <c r="BX319" s="459"/>
      <c r="BY319" s="459"/>
      <c r="BZ319" s="459"/>
      <c r="CA319" s="459"/>
      <c r="CB319" s="459"/>
      <c r="CC319" s="459"/>
    </row>
    <row r="320" spans="1:81" s="467" customFormat="1" x14ac:dyDescent="0.2">
      <c r="A320" s="472"/>
      <c r="C320" s="473"/>
      <c r="G320" s="474"/>
      <c r="H320" s="473"/>
      <c r="P320" s="459"/>
      <c r="Q320" s="459"/>
      <c r="R320" s="459"/>
      <c r="S320" s="459"/>
      <c r="T320" s="459"/>
      <c r="U320" s="459"/>
      <c r="V320" s="459"/>
      <c r="W320" s="459"/>
      <c r="X320" s="459"/>
      <c r="Y320" s="459"/>
      <c r="Z320" s="459"/>
      <c r="AA320" s="459"/>
      <c r="AB320" s="459"/>
      <c r="AC320" s="459"/>
      <c r="AD320" s="459"/>
      <c r="AE320" s="459"/>
      <c r="AF320" s="459"/>
      <c r="AG320" s="459"/>
      <c r="AH320" s="459"/>
      <c r="AI320" s="459"/>
      <c r="AJ320" s="459"/>
      <c r="AK320" s="459"/>
      <c r="AL320" s="459"/>
      <c r="AM320" s="459"/>
      <c r="AN320" s="459"/>
      <c r="AO320" s="459"/>
      <c r="AP320" s="459"/>
      <c r="AQ320" s="459"/>
      <c r="AR320" s="459"/>
      <c r="AS320" s="459"/>
      <c r="AT320" s="459"/>
      <c r="AU320" s="459"/>
      <c r="AV320" s="459"/>
      <c r="AW320" s="459"/>
      <c r="AX320" s="459"/>
      <c r="AY320" s="459"/>
      <c r="AZ320" s="459"/>
      <c r="BA320" s="459"/>
      <c r="BB320" s="459"/>
      <c r="BC320" s="459"/>
      <c r="BD320" s="459"/>
      <c r="BE320" s="459"/>
      <c r="BF320" s="459"/>
      <c r="BG320" s="459"/>
      <c r="BH320" s="459"/>
      <c r="BI320" s="459"/>
      <c r="BJ320" s="459"/>
      <c r="BK320" s="459"/>
      <c r="BL320" s="459"/>
      <c r="BM320" s="459"/>
      <c r="BN320" s="459"/>
      <c r="BO320" s="459"/>
      <c r="BP320" s="459"/>
      <c r="BQ320" s="459"/>
      <c r="BR320" s="459"/>
      <c r="BS320" s="459"/>
      <c r="BT320" s="459"/>
      <c r="BU320" s="459"/>
      <c r="BV320" s="459"/>
      <c r="BW320" s="459"/>
      <c r="BX320" s="459"/>
      <c r="BY320" s="459"/>
      <c r="BZ320" s="459"/>
      <c r="CA320" s="459"/>
      <c r="CB320" s="459"/>
      <c r="CC320" s="459"/>
    </row>
    <row r="321" spans="1:81" s="467" customFormat="1" x14ac:dyDescent="0.2">
      <c r="A321" s="472"/>
      <c r="C321" s="473"/>
      <c r="G321" s="474"/>
      <c r="H321" s="473"/>
      <c r="P321" s="459"/>
      <c r="Q321" s="459"/>
      <c r="R321" s="459"/>
      <c r="S321" s="459"/>
      <c r="T321" s="459"/>
      <c r="U321" s="459"/>
      <c r="V321" s="459"/>
      <c r="W321" s="459"/>
      <c r="X321" s="459"/>
      <c r="Y321" s="459"/>
      <c r="Z321" s="459"/>
      <c r="AA321" s="459"/>
      <c r="AB321" s="459"/>
      <c r="AC321" s="459"/>
      <c r="AD321" s="459"/>
      <c r="AE321" s="459"/>
      <c r="AF321" s="459"/>
      <c r="AG321" s="459"/>
      <c r="AH321" s="459"/>
      <c r="AI321" s="459"/>
      <c r="AJ321" s="459"/>
      <c r="AK321" s="459"/>
      <c r="AL321" s="459"/>
      <c r="AM321" s="459"/>
      <c r="AN321" s="459"/>
      <c r="AO321" s="459"/>
      <c r="AP321" s="459"/>
      <c r="AQ321" s="459"/>
      <c r="AR321" s="459"/>
      <c r="AS321" s="459"/>
      <c r="AT321" s="459"/>
      <c r="AU321" s="459"/>
      <c r="AV321" s="459"/>
      <c r="AW321" s="459"/>
      <c r="AX321" s="459"/>
      <c r="AY321" s="459"/>
      <c r="AZ321" s="459"/>
      <c r="BA321" s="459"/>
      <c r="BB321" s="459"/>
      <c r="BC321" s="459"/>
      <c r="BD321" s="459"/>
      <c r="BE321" s="459"/>
      <c r="BF321" s="459"/>
      <c r="BG321" s="459"/>
      <c r="BH321" s="459"/>
      <c r="BI321" s="459"/>
      <c r="BJ321" s="459"/>
      <c r="BK321" s="459"/>
      <c r="BL321" s="459"/>
      <c r="BM321" s="459"/>
      <c r="BN321" s="459"/>
      <c r="BO321" s="459"/>
      <c r="BP321" s="459"/>
      <c r="BQ321" s="459"/>
      <c r="BR321" s="459"/>
      <c r="BS321" s="459"/>
      <c r="BT321" s="459"/>
      <c r="BU321" s="459"/>
      <c r="BV321" s="459"/>
      <c r="BW321" s="459"/>
      <c r="BX321" s="459"/>
      <c r="BY321" s="459"/>
      <c r="BZ321" s="459"/>
      <c r="CA321" s="459"/>
      <c r="CB321" s="459"/>
      <c r="CC321" s="459"/>
    </row>
    <row r="322" spans="1:81" s="467" customFormat="1" x14ac:dyDescent="0.2">
      <c r="A322" s="472"/>
      <c r="C322" s="473"/>
      <c r="G322" s="474"/>
      <c r="H322" s="473"/>
      <c r="P322" s="459"/>
      <c r="Q322" s="459"/>
      <c r="R322" s="459"/>
      <c r="S322" s="459"/>
      <c r="T322" s="459"/>
      <c r="U322" s="459"/>
      <c r="V322" s="459"/>
      <c r="W322" s="459"/>
      <c r="X322" s="459"/>
      <c r="Y322" s="459"/>
      <c r="Z322" s="459"/>
      <c r="AA322" s="459"/>
      <c r="AB322" s="459"/>
      <c r="AC322" s="459"/>
      <c r="AD322" s="459"/>
      <c r="AE322" s="459"/>
      <c r="AF322" s="459"/>
      <c r="AG322" s="459"/>
      <c r="AH322" s="459"/>
      <c r="AI322" s="459"/>
      <c r="AJ322" s="459"/>
      <c r="AK322" s="459"/>
      <c r="AL322" s="459"/>
      <c r="AM322" s="459"/>
      <c r="AN322" s="459"/>
      <c r="AO322" s="459"/>
      <c r="AP322" s="459"/>
      <c r="AQ322" s="459"/>
      <c r="AR322" s="459"/>
      <c r="AS322" s="459"/>
      <c r="AT322" s="459"/>
      <c r="AU322" s="459"/>
      <c r="AV322" s="459"/>
      <c r="AW322" s="459"/>
      <c r="AX322" s="459"/>
      <c r="AY322" s="459"/>
      <c r="AZ322" s="459"/>
      <c r="BA322" s="459"/>
      <c r="BB322" s="459"/>
      <c r="BC322" s="459"/>
      <c r="BD322" s="459"/>
      <c r="BE322" s="459"/>
      <c r="BF322" s="459"/>
      <c r="BG322" s="459"/>
      <c r="BH322" s="459"/>
      <c r="BI322" s="459"/>
      <c r="BJ322" s="459"/>
      <c r="BK322" s="459"/>
      <c r="BL322" s="459"/>
      <c r="BM322" s="459"/>
      <c r="BN322" s="459"/>
      <c r="BO322" s="459"/>
      <c r="BP322" s="459"/>
      <c r="BQ322" s="459"/>
      <c r="BR322" s="459"/>
      <c r="BS322" s="459"/>
      <c r="BT322" s="459"/>
      <c r="BU322" s="459"/>
      <c r="BV322" s="459"/>
      <c r="BW322" s="459"/>
      <c r="BX322" s="459"/>
      <c r="BY322" s="459"/>
      <c r="BZ322" s="459"/>
      <c r="CA322" s="459"/>
      <c r="CB322" s="459"/>
      <c r="CC322" s="459"/>
    </row>
    <row r="323" spans="1:81" s="467" customFormat="1" x14ac:dyDescent="0.2">
      <c r="A323" s="472"/>
      <c r="C323" s="473"/>
      <c r="G323" s="474"/>
      <c r="H323" s="473"/>
      <c r="P323" s="459"/>
      <c r="Q323" s="459"/>
      <c r="R323" s="459"/>
      <c r="S323" s="459"/>
      <c r="T323" s="459"/>
      <c r="U323" s="459"/>
      <c r="V323" s="459"/>
      <c r="W323" s="459"/>
      <c r="X323" s="459"/>
      <c r="Y323" s="459"/>
      <c r="Z323" s="459"/>
      <c r="AA323" s="459"/>
      <c r="AB323" s="459"/>
      <c r="AC323" s="459"/>
      <c r="AD323" s="459"/>
      <c r="AE323" s="459"/>
      <c r="AF323" s="459"/>
      <c r="AG323" s="459"/>
      <c r="AH323" s="459"/>
      <c r="AI323" s="459"/>
      <c r="AJ323" s="459"/>
      <c r="AK323" s="459"/>
      <c r="AL323" s="459"/>
      <c r="AM323" s="459"/>
      <c r="AN323" s="459"/>
      <c r="AO323" s="459"/>
      <c r="AP323" s="459"/>
      <c r="AQ323" s="459"/>
      <c r="AR323" s="459"/>
      <c r="AS323" s="459"/>
      <c r="AT323" s="459"/>
      <c r="AU323" s="459"/>
      <c r="AV323" s="459"/>
      <c r="AW323" s="459"/>
      <c r="AX323" s="459"/>
      <c r="AY323" s="459"/>
      <c r="AZ323" s="459"/>
      <c r="BA323" s="459"/>
      <c r="BB323" s="459"/>
      <c r="BC323" s="459"/>
      <c r="BD323" s="459"/>
      <c r="BE323" s="459"/>
      <c r="BF323" s="459"/>
      <c r="BG323" s="459"/>
      <c r="BH323" s="459"/>
      <c r="BI323" s="459"/>
      <c r="BJ323" s="459"/>
      <c r="BK323" s="459"/>
      <c r="BL323" s="459"/>
      <c r="BM323" s="459"/>
      <c r="BN323" s="459"/>
      <c r="BO323" s="459"/>
      <c r="BP323" s="459"/>
      <c r="BQ323" s="459"/>
      <c r="BR323" s="459"/>
      <c r="BS323" s="459"/>
      <c r="BT323" s="459"/>
      <c r="BU323" s="459"/>
      <c r="BV323" s="459"/>
      <c r="BW323" s="459"/>
      <c r="BX323" s="459"/>
      <c r="BY323" s="459"/>
      <c r="BZ323" s="459"/>
      <c r="CA323" s="459"/>
      <c r="CB323" s="459"/>
      <c r="CC323" s="459"/>
    </row>
    <row r="324" spans="1:81" s="467" customFormat="1" x14ac:dyDescent="0.2">
      <c r="A324" s="472"/>
      <c r="C324" s="473"/>
      <c r="G324" s="474"/>
      <c r="H324" s="473"/>
      <c r="P324" s="459"/>
      <c r="Q324" s="459"/>
      <c r="R324" s="459"/>
      <c r="S324" s="459"/>
      <c r="T324" s="459"/>
      <c r="U324" s="459"/>
      <c r="V324" s="459"/>
      <c r="W324" s="459"/>
      <c r="X324" s="459"/>
      <c r="Y324" s="459"/>
      <c r="Z324" s="459"/>
      <c r="AA324" s="459"/>
      <c r="AB324" s="459"/>
      <c r="AC324" s="459"/>
      <c r="AD324" s="459"/>
      <c r="AE324" s="459"/>
      <c r="AF324" s="459"/>
      <c r="AG324" s="459"/>
      <c r="AH324" s="459"/>
      <c r="AI324" s="459"/>
      <c r="AJ324" s="459"/>
      <c r="AK324" s="459"/>
      <c r="AL324" s="459"/>
      <c r="AM324" s="459"/>
      <c r="AN324" s="459"/>
      <c r="AO324" s="459"/>
      <c r="AP324" s="459"/>
      <c r="AQ324" s="459"/>
      <c r="AR324" s="459"/>
      <c r="AS324" s="459"/>
      <c r="AT324" s="459"/>
      <c r="AU324" s="459"/>
      <c r="AV324" s="459"/>
      <c r="AW324" s="459"/>
      <c r="AX324" s="459"/>
      <c r="AY324" s="459"/>
      <c r="AZ324" s="459"/>
      <c r="BA324" s="459"/>
      <c r="BB324" s="459"/>
      <c r="BC324" s="459"/>
      <c r="BD324" s="459"/>
      <c r="BE324" s="459"/>
      <c r="BF324" s="459"/>
      <c r="BG324" s="459"/>
      <c r="BH324" s="459"/>
      <c r="BI324" s="459"/>
      <c r="BJ324" s="459"/>
      <c r="BK324" s="459"/>
      <c r="BL324" s="459"/>
      <c r="BM324" s="459"/>
      <c r="BN324" s="459"/>
      <c r="BO324" s="459"/>
      <c r="BP324" s="459"/>
      <c r="BQ324" s="459"/>
      <c r="BR324" s="459"/>
      <c r="BS324" s="459"/>
      <c r="BT324" s="459"/>
      <c r="BU324" s="459"/>
      <c r="BV324" s="459"/>
      <c r="BW324" s="459"/>
      <c r="BX324" s="459"/>
      <c r="BY324" s="459"/>
      <c r="BZ324" s="459"/>
      <c r="CA324" s="459"/>
      <c r="CB324" s="459"/>
      <c r="CC324" s="459"/>
    </row>
    <row r="325" spans="1:81" s="467" customFormat="1" x14ac:dyDescent="0.2">
      <c r="A325" s="472"/>
      <c r="C325" s="473"/>
      <c r="G325" s="474"/>
      <c r="H325" s="473"/>
      <c r="P325" s="459"/>
      <c r="Q325" s="459"/>
      <c r="R325" s="459"/>
      <c r="S325" s="459"/>
      <c r="T325" s="459"/>
      <c r="U325" s="459"/>
      <c r="V325" s="459"/>
      <c r="W325" s="459"/>
      <c r="X325" s="459"/>
      <c r="Y325" s="459"/>
      <c r="Z325" s="459"/>
      <c r="AA325" s="459"/>
      <c r="AB325" s="459"/>
      <c r="AC325" s="459"/>
      <c r="AD325" s="459"/>
      <c r="AE325" s="459"/>
      <c r="AF325" s="459"/>
      <c r="AG325" s="459"/>
      <c r="AH325" s="459"/>
      <c r="AI325" s="459"/>
      <c r="AJ325" s="459"/>
      <c r="AK325" s="459"/>
      <c r="AL325" s="459"/>
      <c r="AM325" s="459"/>
      <c r="AN325" s="459"/>
      <c r="AO325" s="459"/>
      <c r="AP325" s="459"/>
      <c r="AQ325" s="459"/>
      <c r="AR325" s="459"/>
      <c r="AS325" s="459"/>
      <c r="AT325" s="459"/>
      <c r="AU325" s="459"/>
      <c r="AV325" s="459"/>
      <c r="AW325" s="459"/>
      <c r="AX325" s="459"/>
      <c r="AY325" s="459"/>
      <c r="AZ325" s="459"/>
      <c r="BA325" s="459"/>
      <c r="BB325" s="459"/>
      <c r="BC325" s="459"/>
      <c r="BD325" s="459"/>
      <c r="BE325" s="459"/>
      <c r="BF325" s="459"/>
      <c r="BG325" s="459"/>
      <c r="BH325" s="459"/>
      <c r="BI325" s="459"/>
      <c r="BJ325" s="459"/>
      <c r="BK325" s="459"/>
      <c r="BL325" s="459"/>
      <c r="BM325" s="459"/>
      <c r="BN325" s="459"/>
      <c r="BO325" s="459"/>
      <c r="BP325" s="459"/>
      <c r="BQ325" s="459"/>
      <c r="BR325" s="459"/>
      <c r="BS325" s="459"/>
      <c r="BT325" s="459"/>
      <c r="BU325" s="459"/>
      <c r="BV325" s="459"/>
      <c r="BW325" s="459"/>
      <c r="BX325" s="459"/>
      <c r="BY325" s="459"/>
      <c r="BZ325" s="459"/>
      <c r="CA325" s="459"/>
      <c r="CB325" s="459"/>
      <c r="CC325" s="459"/>
    </row>
    <row r="326" spans="1:81" s="467" customFormat="1" x14ac:dyDescent="0.2">
      <c r="A326" s="472"/>
      <c r="C326" s="473"/>
      <c r="G326" s="474"/>
      <c r="H326" s="473"/>
      <c r="P326" s="459"/>
      <c r="Q326" s="459"/>
      <c r="R326" s="459"/>
      <c r="S326" s="459"/>
      <c r="T326" s="459"/>
      <c r="U326" s="459"/>
      <c r="V326" s="459"/>
      <c r="W326" s="459"/>
      <c r="X326" s="459"/>
      <c r="Y326" s="459"/>
      <c r="Z326" s="459"/>
      <c r="AA326" s="459"/>
      <c r="AB326" s="459"/>
      <c r="AC326" s="459"/>
      <c r="AD326" s="459"/>
      <c r="AE326" s="459"/>
      <c r="AF326" s="459"/>
      <c r="AG326" s="459"/>
      <c r="AH326" s="459"/>
      <c r="AI326" s="459"/>
      <c r="AJ326" s="459"/>
      <c r="AK326" s="459"/>
      <c r="AL326" s="459"/>
      <c r="AM326" s="459"/>
      <c r="AN326" s="459"/>
      <c r="AO326" s="459"/>
      <c r="AP326" s="459"/>
      <c r="AQ326" s="459"/>
      <c r="AR326" s="459"/>
      <c r="AS326" s="459"/>
      <c r="AT326" s="459"/>
      <c r="AU326" s="459"/>
      <c r="AV326" s="459"/>
      <c r="AW326" s="459"/>
      <c r="AX326" s="459"/>
      <c r="AY326" s="459"/>
      <c r="AZ326" s="459"/>
      <c r="BA326" s="459"/>
      <c r="BB326" s="459"/>
      <c r="BC326" s="459"/>
      <c r="BD326" s="459"/>
      <c r="BE326" s="459"/>
      <c r="BF326" s="459"/>
      <c r="BG326" s="459"/>
      <c r="BH326" s="459"/>
      <c r="BI326" s="459"/>
      <c r="BJ326" s="459"/>
      <c r="BK326" s="459"/>
      <c r="BL326" s="459"/>
      <c r="BM326" s="459"/>
      <c r="BN326" s="459"/>
      <c r="BO326" s="459"/>
      <c r="BP326" s="459"/>
      <c r="BQ326" s="459"/>
      <c r="BR326" s="459"/>
      <c r="BS326" s="459"/>
      <c r="BT326" s="459"/>
      <c r="BU326" s="459"/>
      <c r="BV326" s="459"/>
      <c r="BW326" s="459"/>
      <c r="BX326" s="459"/>
      <c r="BY326" s="459"/>
      <c r="BZ326" s="459"/>
      <c r="CA326" s="459"/>
      <c r="CB326" s="459"/>
      <c r="CC326" s="459"/>
    </row>
    <row r="327" spans="1:81" s="467" customFormat="1" x14ac:dyDescent="0.2">
      <c r="A327" s="472"/>
      <c r="C327" s="473"/>
      <c r="G327" s="474"/>
      <c r="H327" s="473"/>
      <c r="P327" s="459"/>
      <c r="Q327" s="459"/>
      <c r="R327" s="459"/>
      <c r="S327" s="459"/>
      <c r="T327" s="459"/>
      <c r="U327" s="459"/>
      <c r="V327" s="459"/>
      <c r="W327" s="459"/>
      <c r="X327" s="459"/>
      <c r="Y327" s="459"/>
      <c r="Z327" s="459"/>
      <c r="AA327" s="459"/>
      <c r="AB327" s="459"/>
      <c r="AC327" s="459"/>
      <c r="AD327" s="459"/>
      <c r="AE327" s="459"/>
      <c r="AF327" s="459"/>
      <c r="AG327" s="459"/>
      <c r="AH327" s="459"/>
      <c r="AI327" s="459"/>
      <c r="AJ327" s="459"/>
      <c r="AK327" s="459"/>
      <c r="AL327" s="459"/>
      <c r="AM327" s="459"/>
      <c r="AN327" s="459"/>
      <c r="AO327" s="459"/>
      <c r="AP327" s="459"/>
      <c r="AQ327" s="459"/>
      <c r="AR327" s="459"/>
      <c r="AS327" s="459"/>
      <c r="AT327" s="459"/>
      <c r="AU327" s="459"/>
      <c r="AV327" s="459"/>
      <c r="AW327" s="459"/>
      <c r="AX327" s="459"/>
      <c r="AY327" s="459"/>
      <c r="AZ327" s="459"/>
      <c r="BA327" s="459"/>
      <c r="BB327" s="459"/>
      <c r="BC327" s="459"/>
      <c r="BD327" s="459"/>
      <c r="BE327" s="459"/>
      <c r="BF327" s="459"/>
      <c r="BG327" s="459"/>
      <c r="BH327" s="459"/>
      <c r="BI327" s="459"/>
      <c r="BJ327" s="459"/>
      <c r="BK327" s="459"/>
      <c r="BL327" s="459"/>
      <c r="BM327" s="459"/>
      <c r="BN327" s="459"/>
      <c r="BO327" s="459"/>
      <c r="BP327" s="459"/>
      <c r="BQ327" s="459"/>
      <c r="BR327" s="459"/>
      <c r="BS327" s="459"/>
      <c r="BT327" s="459"/>
      <c r="BU327" s="459"/>
      <c r="BV327" s="459"/>
      <c r="BW327" s="459"/>
      <c r="BX327" s="459"/>
      <c r="BY327" s="459"/>
      <c r="BZ327" s="459"/>
      <c r="CA327" s="459"/>
      <c r="CB327" s="459"/>
      <c r="CC327" s="459"/>
    </row>
    <row r="328" spans="1:81" s="467" customFormat="1" x14ac:dyDescent="0.2">
      <c r="A328" s="472"/>
      <c r="C328" s="473"/>
      <c r="G328" s="474"/>
      <c r="H328" s="473"/>
      <c r="P328" s="459"/>
      <c r="Q328" s="459"/>
      <c r="R328" s="459"/>
      <c r="S328" s="459"/>
      <c r="T328" s="459"/>
      <c r="U328" s="459"/>
      <c r="V328" s="459"/>
      <c r="W328" s="459"/>
      <c r="X328" s="459"/>
      <c r="Y328" s="459"/>
      <c r="Z328" s="459"/>
      <c r="AA328" s="459"/>
      <c r="AB328" s="459"/>
      <c r="AC328" s="459"/>
      <c r="AD328" s="459"/>
      <c r="AE328" s="459"/>
      <c r="AF328" s="459"/>
      <c r="AG328" s="459"/>
      <c r="AH328" s="459"/>
      <c r="AI328" s="459"/>
      <c r="AJ328" s="459"/>
      <c r="AK328" s="459"/>
      <c r="AL328" s="459"/>
      <c r="AM328" s="459"/>
      <c r="AN328" s="459"/>
      <c r="AO328" s="459"/>
      <c r="AP328" s="459"/>
      <c r="AQ328" s="459"/>
      <c r="AR328" s="459"/>
      <c r="AS328" s="459"/>
      <c r="AT328" s="459"/>
      <c r="AU328" s="459"/>
      <c r="AV328" s="459"/>
      <c r="AW328" s="459"/>
      <c r="AX328" s="459"/>
      <c r="AY328" s="459"/>
      <c r="AZ328" s="459"/>
      <c r="BA328" s="459"/>
      <c r="BB328" s="459"/>
      <c r="BC328" s="459"/>
      <c r="BD328" s="459"/>
      <c r="BE328" s="459"/>
      <c r="BF328" s="459"/>
      <c r="BG328" s="459"/>
      <c r="BH328" s="459"/>
      <c r="BI328" s="459"/>
      <c r="BJ328" s="459"/>
      <c r="BK328" s="459"/>
      <c r="BL328" s="459"/>
      <c r="BM328" s="459"/>
      <c r="BN328" s="459"/>
      <c r="BO328" s="459"/>
      <c r="BP328" s="459"/>
      <c r="BQ328" s="459"/>
      <c r="BR328" s="459"/>
      <c r="BS328" s="459"/>
      <c r="BT328" s="459"/>
      <c r="BU328" s="459"/>
      <c r="BV328" s="459"/>
      <c r="BW328" s="459"/>
      <c r="BX328" s="459"/>
      <c r="BY328" s="459"/>
      <c r="BZ328" s="459"/>
      <c r="CA328" s="459"/>
      <c r="CB328" s="459"/>
      <c r="CC328" s="459"/>
    </row>
    <row r="329" spans="1:81" s="467" customFormat="1" x14ac:dyDescent="0.2">
      <c r="A329" s="472"/>
      <c r="C329" s="473"/>
      <c r="G329" s="474"/>
      <c r="H329" s="473"/>
      <c r="P329" s="459"/>
      <c r="Q329" s="459"/>
      <c r="R329" s="459"/>
      <c r="S329" s="459"/>
      <c r="T329" s="459"/>
      <c r="U329" s="459"/>
      <c r="V329" s="459"/>
      <c r="W329" s="459"/>
      <c r="X329" s="459"/>
      <c r="Y329" s="459"/>
      <c r="Z329" s="459"/>
      <c r="AA329" s="459"/>
      <c r="AB329" s="459"/>
      <c r="AC329" s="459"/>
      <c r="AD329" s="459"/>
      <c r="AE329" s="459"/>
      <c r="AF329" s="459"/>
      <c r="AG329" s="459"/>
      <c r="AH329" s="459"/>
      <c r="AI329" s="459"/>
      <c r="AJ329" s="459"/>
      <c r="AK329" s="459"/>
      <c r="AL329" s="459"/>
      <c r="AM329" s="459"/>
      <c r="AN329" s="459"/>
      <c r="AO329" s="459"/>
      <c r="AP329" s="459"/>
      <c r="AQ329" s="459"/>
      <c r="AR329" s="459"/>
      <c r="AS329" s="459"/>
      <c r="AT329" s="459"/>
      <c r="AU329" s="459"/>
      <c r="AV329" s="459"/>
      <c r="AW329" s="459"/>
      <c r="AX329" s="459"/>
      <c r="AY329" s="459"/>
      <c r="AZ329" s="459"/>
      <c r="BA329" s="459"/>
      <c r="BB329" s="459"/>
      <c r="BC329" s="459"/>
      <c r="BD329" s="459"/>
      <c r="BE329" s="459"/>
      <c r="BF329" s="459"/>
      <c r="BG329" s="459"/>
      <c r="BH329" s="459"/>
      <c r="BI329" s="459"/>
      <c r="BJ329" s="459"/>
      <c r="BK329" s="459"/>
      <c r="BL329" s="459"/>
      <c r="BM329" s="459"/>
      <c r="BN329" s="459"/>
      <c r="BO329" s="459"/>
      <c r="BP329" s="459"/>
      <c r="BQ329" s="459"/>
      <c r="BR329" s="459"/>
      <c r="BS329" s="459"/>
      <c r="BT329" s="459"/>
      <c r="BU329" s="459"/>
      <c r="BV329" s="459"/>
      <c r="BW329" s="459"/>
      <c r="BX329" s="459"/>
      <c r="BY329" s="459"/>
      <c r="BZ329" s="459"/>
      <c r="CA329" s="459"/>
      <c r="CB329" s="459"/>
      <c r="CC329" s="459"/>
    </row>
    <row r="330" spans="1:81" s="467" customFormat="1" x14ac:dyDescent="0.2">
      <c r="A330" s="472"/>
      <c r="C330" s="473"/>
      <c r="G330" s="474"/>
      <c r="H330" s="473"/>
      <c r="P330" s="459"/>
      <c r="Q330" s="459"/>
      <c r="R330" s="459"/>
      <c r="S330" s="459"/>
      <c r="T330" s="459"/>
      <c r="U330" s="459"/>
      <c r="V330" s="459"/>
      <c r="W330" s="459"/>
      <c r="X330" s="459"/>
      <c r="Y330" s="459"/>
      <c r="Z330" s="459"/>
      <c r="AA330" s="459"/>
      <c r="AB330" s="459"/>
      <c r="AC330" s="459"/>
      <c r="AD330" s="459"/>
      <c r="AE330" s="459"/>
      <c r="AF330" s="459"/>
      <c r="AG330" s="459"/>
      <c r="AH330" s="459"/>
      <c r="AI330" s="459"/>
      <c r="AJ330" s="459"/>
      <c r="AK330" s="459"/>
      <c r="AL330" s="459"/>
      <c r="AM330" s="459"/>
      <c r="AN330" s="459"/>
      <c r="AO330" s="459"/>
      <c r="AP330" s="459"/>
      <c r="AQ330" s="459"/>
      <c r="AR330" s="459"/>
      <c r="AS330" s="459"/>
      <c r="AT330" s="459"/>
      <c r="AU330" s="459"/>
      <c r="AV330" s="459"/>
      <c r="AW330" s="459"/>
      <c r="AX330" s="459"/>
      <c r="AY330" s="459"/>
      <c r="AZ330" s="459"/>
      <c r="BA330" s="459"/>
      <c r="BB330" s="459"/>
      <c r="BC330" s="459"/>
      <c r="BD330" s="459"/>
      <c r="BE330" s="459"/>
      <c r="BF330" s="459"/>
      <c r="BG330" s="459"/>
      <c r="BH330" s="459"/>
      <c r="BI330" s="459"/>
      <c r="BJ330" s="459"/>
      <c r="BK330" s="459"/>
      <c r="BL330" s="459"/>
      <c r="BM330" s="459"/>
      <c r="BN330" s="459"/>
      <c r="BO330" s="459"/>
      <c r="BP330" s="459"/>
      <c r="BQ330" s="459"/>
      <c r="BR330" s="459"/>
      <c r="BS330" s="459"/>
      <c r="BT330" s="459"/>
      <c r="BU330" s="459"/>
      <c r="BV330" s="459"/>
      <c r="BW330" s="459"/>
      <c r="BX330" s="459"/>
      <c r="BY330" s="459"/>
      <c r="BZ330" s="459"/>
      <c r="CA330" s="459"/>
      <c r="CB330" s="459"/>
      <c r="CC330" s="459"/>
    </row>
    <row r="331" spans="1:81" s="467" customFormat="1" x14ac:dyDescent="0.2">
      <c r="A331" s="472"/>
      <c r="C331" s="473"/>
      <c r="G331" s="474"/>
      <c r="H331" s="473"/>
      <c r="P331" s="459"/>
      <c r="Q331" s="459"/>
      <c r="R331" s="459"/>
      <c r="S331" s="459"/>
      <c r="T331" s="459"/>
      <c r="U331" s="459"/>
      <c r="V331" s="459"/>
      <c r="W331" s="459"/>
      <c r="X331" s="459"/>
      <c r="Y331" s="459"/>
      <c r="Z331" s="459"/>
      <c r="AA331" s="459"/>
      <c r="AB331" s="459"/>
      <c r="AC331" s="459"/>
      <c r="AD331" s="459"/>
      <c r="AE331" s="459"/>
      <c r="AF331" s="459"/>
      <c r="AG331" s="459"/>
      <c r="AH331" s="459"/>
      <c r="AI331" s="459"/>
      <c r="AJ331" s="459"/>
      <c r="AK331" s="459"/>
      <c r="AL331" s="459"/>
      <c r="AM331" s="459"/>
      <c r="AN331" s="459"/>
      <c r="AO331" s="459"/>
      <c r="AP331" s="459"/>
      <c r="AQ331" s="459"/>
      <c r="AR331" s="459"/>
      <c r="AS331" s="459"/>
      <c r="AT331" s="459"/>
      <c r="AU331" s="459"/>
      <c r="AV331" s="459"/>
      <c r="AW331" s="459"/>
      <c r="AX331" s="459"/>
      <c r="AY331" s="459"/>
      <c r="AZ331" s="459"/>
      <c r="BA331" s="459"/>
      <c r="BB331" s="459"/>
      <c r="BC331" s="459"/>
      <c r="BD331" s="459"/>
      <c r="BE331" s="459"/>
      <c r="BF331" s="459"/>
      <c r="BG331" s="459"/>
      <c r="BH331" s="459"/>
      <c r="BI331" s="459"/>
      <c r="BJ331" s="459"/>
      <c r="BK331" s="459"/>
      <c r="BL331" s="459"/>
      <c r="BM331" s="459"/>
      <c r="BN331" s="459"/>
      <c r="BO331" s="459"/>
      <c r="BP331" s="459"/>
      <c r="BQ331" s="459"/>
      <c r="BR331" s="459"/>
      <c r="BS331" s="459"/>
      <c r="BT331" s="459"/>
      <c r="BU331" s="459"/>
      <c r="BV331" s="459"/>
      <c r="BW331" s="459"/>
      <c r="BX331" s="459"/>
      <c r="BY331" s="459"/>
      <c r="BZ331" s="459"/>
      <c r="CA331" s="459"/>
      <c r="CB331" s="459"/>
      <c r="CC331" s="459"/>
    </row>
    <row r="332" spans="1:81" s="467" customFormat="1" x14ac:dyDescent="0.2">
      <c r="A332" s="472"/>
      <c r="C332" s="473"/>
      <c r="G332" s="474"/>
      <c r="H332" s="473"/>
      <c r="P332" s="459"/>
      <c r="Q332" s="459"/>
      <c r="R332" s="459"/>
      <c r="S332" s="459"/>
      <c r="T332" s="459"/>
      <c r="U332" s="459"/>
      <c r="V332" s="459"/>
      <c r="W332" s="459"/>
      <c r="X332" s="459"/>
      <c r="Y332" s="459"/>
      <c r="Z332" s="459"/>
      <c r="AA332" s="459"/>
      <c r="AB332" s="459"/>
      <c r="AC332" s="459"/>
      <c r="AD332" s="459"/>
      <c r="AE332" s="459"/>
      <c r="AF332" s="459"/>
      <c r="AG332" s="459"/>
      <c r="AH332" s="459"/>
      <c r="AI332" s="459"/>
      <c r="AJ332" s="459"/>
      <c r="AK332" s="459"/>
      <c r="AL332" s="459"/>
      <c r="AM332" s="459"/>
      <c r="AN332" s="459"/>
      <c r="AO332" s="459"/>
      <c r="AP332" s="459"/>
      <c r="AQ332" s="459"/>
      <c r="AR332" s="459"/>
      <c r="AS332" s="459"/>
      <c r="AT332" s="459"/>
      <c r="AU332" s="459"/>
      <c r="AV332" s="459"/>
      <c r="AW332" s="459"/>
      <c r="AX332" s="459"/>
      <c r="AY332" s="459"/>
      <c r="AZ332" s="459"/>
      <c r="BA332" s="459"/>
      <c r="BB332" s="459"/>
      <c r="BC332" s="459"/>
      <c r="BD332" s="459"/>
      <c r="BE332" s="459"/>
      <c r="BF332" s="459"/>
      <c r="BG332" s="459"/>
      <c r="BH332" s="459"/>
      <c r="BI332" s="459"/>
      <c r="BJ332" s="459"/>
      <c r="BK332" s="459"/>
      <c r="BL332" s="459"/>
      <c r="BM332" s="459"/>
      <c r="BN332" s="459"/>
      <c r="BO332" s="459"/>
      <c r="BP332" s="459"/>
      <c r="BQ332" s="459"/>
      <c r="BR332" s="459"/>
      <c r="BS332" s="459"/>
      <c r="BT332" s="459"/>
      <c r="BU332" s="459"/>
      <c r="BV332" s="459"/>
      <c r="BW332" s="459"/>
      <c r="BX332" s="459"/>
      <c r="BY332" s="459"/>
      <c r="BZ332" s="459"/>
      <c r="CA332" s="459"/>
      <c r="CB332" s="459"/>
      <c r="CC332" s="459"/>
    </row>
    <row r="333" spans="1:81" s="467" customFormat="1" x14ac:dyDescent="0.2">
      <c r="A333" s="472"/>
      <c r="C333" s="473"/>
      <c r="G333" s="474"/>
      <c r="H333" s="473"/>
      <c r="P333" s="459"/>
      <c r="Q333" s="459"/>
      <c r="R333" s="459"/>
      <c r="S333" s="459"/>
      <c r="T333" s="459"/>
      <c r="U333" s="459"/>
      <c r="V333" s="459"/>
      <c r="W333" s="459"/>
      <c r="X333" s="459"/>
      <c r="Y333" s="459"/>
      <c r="Z333" s="459"/>
      <c r="AA333" s="459"/>
      <c r="AB333" s="459"/>
      <c r="AC333" s="459"/>
      <c r="AD333" s="459"/>
      <c r="AE333" s="459"/>
      <c r="AF333" s="459"/>
      <c r="AG333" s="459"/>
      <c r="AH333" s="459"/>
      <c r="AI333" s="459"/>
      <c r="AJ333" s="459"/>
      <c r="AK333" s="459"/>
      <c r="AL333" s="459"/>
      <c r="AM333" s="459"/>
      <c r="AN333" s="459"/>
      <c r="AO333" s="459"/>
      <c r="AP333" s="459"/>
      <c r="AQ333" s="459"/>
      <c r="AR333" s="459"/>
      <c r="AS333" s="459"/>
      <c r="AT333" s="459"/>
      <c r="AU333" s="459"/>
      <c r="AV333" s="459"/>
      <c r="AW333" s="459"/>
      <c r="AX333" s="459"/>
      <c r="AY333" s="459"/>
      <c r="AZ333" s="459"/>
      <c r="BA333" s="459"/>
      <c r="BB333" s="459"/>
      <c r="BC333" s="459"/>
      <c r="BD333" s="459"/>
      <c r="BE333" s="459"/>
      <c r="BF333" s="459"/>
      <c r="BG333" s="459"/>
      <c r="BH333" s="459"/>
      <c r="BI333" s="459"/>
      <c r="BJ333" s="459"/>
      <c r="BK333" s="459"/>
      <c r="BL333" s="459"/>
      <c r="BM333" s="459"/>
      <c r="BN333" s="459"/>
      <c r="BO333" s="459"/>
      <c r="BP333" s="459"/>
      <c r="BQ333" s="459"/>
      <c r="BR333" s="459"/>
      <c r="BS333" s="459"/>
      <c r="BT333" s="459"/>
      <c r="BU333" s="459"/>
      <c r="BV333" s="459"/>
      <c r="BW333" s="459"/>
      <c r="BX333" s="459"/>
      <c r="BY333" s="459"/>
      <c r="BZ333" s="459"/>
      <c r="CA333" s="459"/>
      <c r="CB333" s="459"/>
      <c r="CC333" s="459"/>
    </row>
    <row r="334" spans="1:81" s="467" customFormat="1" x14ac:dyDescent="0.2">
      <c r="A334" s="472"/>
      <c r="C334" s="473"/>
      <c r="G334" s="474"/>
      <c r="H334" s="473"/>
      <c r="P334" s="459"/>
      <c r="Q334" s="459"/>
      <c r="R334" s="459"/>
      <c r="S334" s="459"/>
      <c r="T334" s="459"/>
      <c r="U334" s="459"/>
      <c r="V334" s="459"/>
      <c r="W334" s="459"/>
      <c r="X334" s="459"/>
      <c r="Y334" s="459"/>
      <c r="Z334" s="459"/>
      <c r="AA334" s="459"/>
      <c r="AB334" s="459"/>
      <c r="AC334" s="459"/>
      <c r="AD334" s="459"/>
      <c r="AE334" s="459"/>
      <c r="AF334" s="459"/>
      <c r="AG334" s="459"/>
      <c r="AH334" s="459"/>
      <c r="AI334" s="459"/>
      <c r="AJ334" s="459"/>
      <c r="AK334" s="459"/>
      <c r="AL334" s="459"/>
      <c r="AM334" s="459"/>
      <c r="AN334" s="459"/>
      <c r="AO334" s="459"/>
      <c r="AP334" s="459"/>
      <c r="AQ334" s="459"/>
      <c r="AR334" s="459"/>
      <c r="AS334" s="459"/>
      <c r="AT334" s="459"/>
      <c r="AU334" s="459"/>
      <c r="AV334" s="459"/>
      <c r="AW334" s="459"/>
      <c r="AX334" s="459"/>
      <c r="AY334" s="459"/>
      <c r="AZ334" s="459"/>
      <c r="BA334" s="459"/>
      <c r="BB334" s="459"/>
      <c r="BC334" s="459"/>
      <c r="BD334" s="459"/>
      <c r="BE334" s="459"/>
      <c r="BF334" s="459"/>
      <c r="BG334" s="459"/>
      <c r="BH334" s="459"/>
      <c r="BI334" s="459"/>
      <c r="BJ334" s="459"/>
      <c r="BK334" s="459"/>
      <c r="BL334" s="459"/>
      <c r="BM334" s="459"/>
      <c r="BN334" s="459"/>
      <c r="BO334" s="459"/>
      <c r="BP334" s="459"/>
      <c r="BQ334" s="459"/>
      <c r="BR334" s="459"/>
      <c r="BS334" s="459"/>
      <c r="BT334" s="459"/>
      <c r="BU334" s="459"/>
      <c r="BV334" s="459"/>
      <c r="BW334" s="459"/>
      <c r="BX334" s="459"/>
      <c r="BY334" s="459"/>
      <c r="BZ334" s="459"/>
      <c r="CA334" s="459"/>
      <c r="CB334" s="459"/>
      <c r="CC334" s="459"/>
    </row>
    <row r="335" spans="1:81" s="467" customFormat="1" x14ac:dyDescent="0.2">
      <c r="A335" s="472"/>
      <c r="C335" s="473"/>
      <c r="G335" s="474"/>
      <c r="H335" s="473"/>
      <c r="P335" s="459"/>
      <c r="Q335" s="459"/>
      <c r="R335" s="459"/>
      <c r="S335" s="459"/>
      <c r="T335" s="459"/>
      <c r="U335" s="459"/>
      <c r="V335" s="459"/>
      <c r="W335" s="459"/>
      <c r="X335" s="459"/>
      <c r="Y335" s="459"/>
      <c r="Z335" s="459"/>
      <c r="AA335" s="459"/>
      <c r="AB335" s="459"/>
      <c r="AC335" s="459"/>
      <c r="AD335" s="459"/>
      <c r="AE335" s="459"/>
      <c r="AF335" s="459"/>
      <c r="AG335" s="459"/>
      <c r="AH335" s="459"/>
      <c r="AI335" s="459"/>
      <c r="AJ335" s="459"/>
      <c r="AK335" s="459"/>
      <c r="AL335" s="459"/>
      <c r="AM335" s="459"/>
      <c r="AN335" s="459"/>
      <c r="AO335" s="459"/>
      <c r="AP335" s="459"/>
      <c r="AQ335" s="459"/>
      <c r="AR335" s="459"/>
      <c r="AS335" s="459"/>
      <c r="AT335" s="459"/>
      <c r="AU335" s="459"/>
      <c r="AV335" s="459"/>
      <c r="AW335" s="459"/>
      <c r="AX335" s="459"/>
      <c r="AY335" s="459"/>
      <c r="AZ335" s="459"/>
      <c r="BA335" s="459"/>
      <c r="BB335" s="459"/>
      <c r="BC335" s="459"/>
      <c r="BD335" s="459"/>
      <c r="BE335" s="459"/>
      <c r="BF335" s="459"/>
      <c r="BG335" s="459"/>
      <c r="BH335" s="459"/>
      <c r="BI335" s="459"/>
      <c r="BJ335" s="459"/>
      <c r="BK335" s="459"/>
      <c r="BL335" s="459"/>
      <c r="BM335" s="459"/>
      <c r="BN335" s="459"/>
      <c r="BO335" s="459"/>
      <c r="BP335" s="459"/>
      <c r="BQ335" s="459"/>
      <c r="BR335" s="459"/>
      <c r="BS335" s="459"/>
      <c r="BT335" s="459"/>
      <c r="BU335" s="459"/>
      <c r="BV335" s="459"/>
      <c r="BW335" s="459"/>
      <c r="BX335" s="459"/>
      <c r="BY335" s="459"/>
      <c r="BZ335" s="459"/>
      <c r="CA335" s="459"/>
      <c r="CB335" s="459"/>
      <c r="CC335" s="459"/>
    </row>
    <row r="336" spans="1:81" s="467" customFormat="1" x14ac:dyDescent="0.2">
      <c r="A336" s="472"/>
      <c r="C336" s="473"/>
      <c r="G336" s="474"/>
      <c r="H336" s="473"/>
      <c r="P336" s="459"/>
      <c r="Q336" s="459"/>
      <c r="R336" s="459"/>
      <c r="S336" s="459"/>
      <c r="T336" s="459"/>
      <c r="U336" s="459"/>
      <c r="V336" s="459"/>
      <c r="W336" s="459"/>
      <c r="X336" s="459"/>
      <c r="Y336" s="459"/>
      <c r="Z336" s="459"/>
      <c r="AA336" s="459"/>
      <c r="AB336" s="459"/>
      <c r="AC336" s="459"/>
      <c r="AD336" s="459"/>
      <c r="AE336" s="459"/>
      <c r="AF336" s="459"/>
      <c r="AG336" s="459"/>
      <c r="AH336" s="459"/>
      <c r="AI336" s="459"/>
      <c r="AJ336" s="459"/>
      <c r="AK336" s="459"/>
      <c r="AL336" s="459"/>
      <c r="AM336" s="459"/>
      <c r="AN336" s="459"/>
      <c r="AO336" s="459"/>
      <c r="AP336" s="459"/>
      <c r="AQ336" s="459"/>
      <c r="AR336" s="459"/>
      <c r="AS336" s="459"/>
      <c r="AT336" s="459"/>
      <c r="AU336" s="459"/>
      <c r="AV336" s="459"/>
      <c r="AW336" s="459"/>
      <c r="AX336" s="459"/>
      <c r="AY336" s="459"/>
      <c r="AZ336" s="459"/>
      <c r="BA336" s="459"/>
      <c r="BB336" s="459"/>
      <c r="BC336" s="459"/>
      <c r="BD336" s="459"/>
      <c r="BE336" s="459"/>
      <c r="BF336" s="459"/>
      <c r="BG336" s="459"/>
      <c r="BH336" s="459"/>
      <c r="BI336" s="459"/>
      <c r="BJ336" s="459"/>
      <c r="BK336" s="459"/>
      <c r="BL336" s="459"/>
      <c r="BM336" s="459"/>
      <c r="BN336" s="459"/>
      <c r="BO336" s="459"/>
      <c r="BP336" s="459"/>
      <c r="BQ336" s="459"/>
      <c r="BR336" s="459"/>
      <c r="BS336" s="459"/>
      <c r="BT336" s="459"/>
      <c r="BU336" s="459"/>
      <c r="BV336" s="459"/>
      <c r="BW336" s="459"/>
      <c r="BX336" s="459"/>
      <c r="BY336" s="459"/>
      <c r="BZ336" s="459"/>
      <c r="CA336" s="459"/>
      <c r="CB336" s="459"/>
      <c r="CC336" s="459"/>
    </row>
    <row r="337" spans="1:81" s="467" customFormat="1" x14ac:dyDescent="0.2">
      <c r="A337" s="472"/>
      <c r="C337" s="473"/>
      <c r="G337" s="474"/>
      <c r="H337" s="473"/>
      <c r="P337" s="459"/>
      <c r="Q337" s="459"/>
      <c r="R337" s="459"/>
      <c r="S337" s="459"/>
      <c r="T337" s="459"/>
      <c r="U337" s="459"/>
      <c r="V337" s="459"/>
      <c r="W337" s="459"/>
      <c r="X337" s="459"/>
      <c r="Y337" s="459"/>
      <c r="Z337" s="459"/>
      <c r="AA337" s="459"/>
      <c r="AB337" s="459"/>
      <c r="AC337" s="459"/>
      <c r="AD337" s="459"/>
      <c r="AE337" s="459"/>
      <c r="AF337" s="459"/>
      <c r="AG337" s="459"/>
      <c r="AH337" s="459"/>
      <c r="AI337" s="459"/>
      <c r="AJ337" s="459"/>
      <c r="AK337" s="459"/>
      <c r="AL337" s="459"/>
      <c r="AM337" s="459"/>
      <c r="AN337" s="459"/>
      <c r="AO337" s="459"/>
      <c r="AP337" s="459"/>
      <c r="AQ337" s="459"/>
      <c r="AR337" s="459"/>
      <c r="AS337" s="459"/>
      <c r="AT337" s="459"/>
      <c r="AU337" s="459"/>
      <c r="AV337" s="459"/>
      <c r="AW337" s="459"/>
      <c r="AX337" s="459"/>
      <c r="AY337" s="459"/>
      <c r="AZ337" s="459"/>
      <c r="BA337" s="459"/>
      <c r="BB337" s="459"/>
      <c r="BC337" s="459"/>
      <c r="BD337" s="459"/>
      <c r="BE337" s="459"/>
      <c r="BF337" s="459"/>
      <c r="BG337" s="459"/>
      <c r="BH337" s="459"/>
      <c r="BI337" s="459"/>
      <c r="BJ337" s="459"/>
      <c r="BK337" s="459"/>
      <c r="BL337" s="459"/>
      <c r="BM337" s="459"/>
      <c r="BN337" s="459"/>
      <c r="BO337" s="459"/>
      <c r="BP337" s="459"/>
      <c r="BQ337" s="459"/>
      <c r="BR337" s="459"/>
      <c r="BS337" s="459"/>
      <c r="BT337" s="459"/>
      <c r="BU337" s="459"/>
      <c r="BV337" s="459"/>
      <c r="BW337" s="459"/>
      <c r="BX337" s="459"/>
      <c r="BY337" s="459"/>
      <c r="BZ337" s="459"/>
      <c r="CA337" s="459"/>
      <c r="CB337" s="459"/>
      <c r="CC337" s="459"/>
    </row>
    <row r="338" spans="1:81" s="467" customFormat="1" x14ac:dyDescent="0.2">
      <c r="A338" s="472"/>
      <c r="C338" s="473"/>
      <c r="G338" s="474"/>
      <c r="H338" s="473"/>
      <c r="P338" s="459"/>
      <c r="Q338" s="459"/>
      <c r="R338" s="459"/>
      <c r="S338" s="459"/>
      <c r="T338" s="459"/>
      <c r="U338" s="459"/>
      <c r="V338" s="459"/>
      <c r="W338" s="459"/>
      <c r="X338" s="459"/>
      <c r="Y338" s="459"/>
      <c r="Z338" s="459"/>
      <c r="AA338" s="459"/>
      <c r="AB338" s="459"/>
      <c r="AC338" s="459"/>
      <c r="AD338" s="459"/>
      <c r="AE338" s="459"/>
      <c r="AF338" s="459"/>
      <c r="AG338" s="459"/>
      <c r="AH338" s="459"/>
      <c r="AI338" s="459"/>
      <c r="AJ338" s="459"/>
      <c r="AK338" s="459"/>
      <c r="AL338" s="459"/>
      <c r="AM338" s="459"/>
      <c r="AN338" s="459"/>
      <c r="AO338" s="459"/>
      <c r="AP338" s="459"/>
      <c r="AQ338" s="459"/>
      <c r="AR338" s="459"/>
      <c r="AS338" s="459"/>
      <c r="AT338" s="459"/>
      <c r="AU338" s="459"/>
      <c r="AV338" s="459"/>
      <c r="AW338" s="459"/>
      <c r="AX338" s="459"/>
      <c r="AY338" s="459"/>
      <c r="AZ338" s="459"/>
      <c r="BA338" s="459"/>
      <c r="BB338" s="459"/>
      <c r="BC338" s="459"/>
      <c r="BD338" s="459"/>
      <c r="BE338" s="459"/>
      <c r="BF338" s="459"/>
      <c r="BG338" s="459"/>
      <c r="BH338" s="459"/>
      <c r="BI338" s="459"/>
      <c r="BJ338" s="459"/>
      <c r="BK338" s="459"/>
      <c r="BL338" s="459"/>
      <c r="BM338" s="459"/>
      <c r="BN338" s="459"/>
      <c r="BO338" s="459"/>
      <c r="BP338" s="459"/>
      <c r="BQ338" s="459"/>
      <c r="BR338" s="459"/>
      <c r="BS338" s="459"/>
      <c r="BT338" s="459"/>
      <c r="BU338" s="459"/>
      <c r="BV338" s="459"/>
      <c r="BW338" s="459"/>
      <c r="BX338" s="459"/>
      <c r="BY338" s="459"/>
      <c r="BZ338" s="459"/>
      <c r="CA338" s="459"/>
      <c r="CB338" s="459"/>
      <c r="CC338" s="459"/>
    </row>
    <row r="339" spans="1:81" s="467" customFormat="1" x14ac:dyDescent="0.2">
      <c r="A339" s="472"/>
      <c r="C339" s="473"/>
      <c r="G339" s="474"/>
      <c r="H339" s="473"/>
      <c r="P339" s="459"/>
      <c r="Q339" s="459"/>
      <c r="R339" s="459"/>
      <c r="S339" s="459"/>
      <c r="T339" s="459"/>
      <c r="U339" s="459"/>
      <c r="V339" s="459"/>
      <c r="W339" s="459"/>
      <c r="X339" s="459"/>
      <c r="Y339" s="459"/>
      <c r="Z339" s="459"/>
      <c r="AA339" s="459"/>
      <c r="AB339" s="459"/>
      <c r="AC339" s="459"/>
      <c r="AD339" s="459"/>
      <c r="AE339" s="459"/>
      <c r="AF339" s="459"/>
      <c r="AG339" s="459"/>
      <c r="AH339" s="459"/>
      <c r="AI339" s="459"/>
      <c r="AJ339" s="459"/>
      <c r="AK339" s="459"/>
      <c r="AL339" s="459"/>
      <c r="AM339" s="459"/>
      <c r="AN339" s="459"/>
      <c r="AO339" s="459"/>
      <c r="AP339" s="459"/>
      <c r="AQ339" s="459"/>
      <c r="AR339" s="459"/>
      <c r="AS339" s="459"/>
      <c r="AT339" s="459"/>
      <c r="AU339" s="459"/>
      <c r="AV339" s="459"/>
      <c r="AW339" s="459"/>
      <c r="AX339" s="459"/>
      <c r="AY339" s="459"/>
      <c r="AZ339" s="459"/>
      <c r="BA339" s="459"/>
      <c r="BB339" s="459"/>
      <c r="BC339" s="459"/>
      <c r="BD339" s="459"/>
      <c r="BE339" s="459"/>
      <c r="BF339" s="459"/>
      <c r="BG339" s="459"/>
      <c r="BH339" s="459"/>
      <c r="BI339" s="459"/>
      <c r="BJ339" s="459"/>
      <c r="BK339" s="459"/>
      <c r="BL339" s="459"/>
      <c r="BM339" s="459"/>
      <c r="BN339" s="459"/>
      <c r="BO339" s="459"/>
      <c r="BP339" s="459"/>
      <c r="BQ339" s="459"/>
      <c r="BR339" s="459"/>
      <c r="BS339" s="459"/>
      <c r="BT339" s="459"/>
      <c r="BU339" s="459"/>
      <c r="BV339" s="459"/>
      <c r="BW339" s="459"/>
      <c r="BX339" s="459"/>
      <c r="BY339" s="459"/>
      <c r="BZ339" s="459"/>
      <c r="CA339" s="459"/>
      <c r="CB339" s="459"/>
      <c r="CC339" s="459"/>
    </row>
    <row r="340" spans="1:81" s="467" customFormat="1" x14ac:dyDescent="0.2">
      <c r="A340" s="472"/>
      <c r="C340" s="473"/>
      <c r="G340" s="474"/>
      <c r="H340" s="473"/>
      <c r="P340" s="459"/>
      <c r="Q340" s="459"/>
      <c r="R340" s="459"/>
      <c r="S340" s="459"/>
      <c r="T340" s="459"/>
      <c r="U340" s="459"/>
      <c r="V340" s="459"/>
      <c r="W340" s="459"/>
      <c r="X340" s="459"/>
      <c r="Y340" s="459"/>
      <c r="Z340" s="459"/>
      <c r="AA340" s="459"/>
      <c r="AB340" s="459"/>
      <c r="AC340" s="459"/>
      <c r="AD340" s="459"/>
      <c r="AE340" s="459"/>
      <c r="AF340" s="459"/>
      <c r="AG340" s="459"/>
      <c r="AH340" s="459"/>
      <c r="AI340" s="459"/>
      <c r="AJ340" s="459"/>
      <c r="AK340" s="459"/>
      <c r="AL340" s="459"/>
      <c r="AM340" s="459"/>
      <c r="AN340" s="459"/>
      <c r="AO340" s="459"/>
      <c r="AP340" s="459"/>
      <c r="AQ340" s="459"/>
      <c r="AR340" s="459"/>
      <c r="AS340" s="459"/>
      <c r="AT340" s="459"/>
      <c r="AU340" s="459"/>
      <c r="AV340" s="459"/>
      <c r="AW340" s="459"/>
      <c r="AX340" s="459"/>
      <c r="AY340" s="459"/>
      <c r="AZ340" s="459"/>
      <c r="BA340" s="459"/>
      <c r="BB340" s="459"/>
      <c r="BC340" s="459"/>
      <c r="BD340" s="459"/>
      <c r="BE340" s="459"/>
      <c r="BF340" s="459"/>
      <c r="BG340" s="459"/>
      <c r="BH340" s="459"/>
      <c r="BI340" s="459"/>
      <c r="BJ340" s="459"/>
      <c r="BK340" s="459"/>
      <c r="BL340" s="459"/>
      <c r="BM340" s="459"/>
      <c r="BN340" s="459"/>
      <c r="BO340" s="459"/>
      <c r="BP340" s="459"/>
      <c r="BQ340" s="459"/>
      <c r="BR340" s="459"/>
      <c r="BS340" s="459"/>
      <c r="BT340" s="459"/>
      <c r="BU340" s="459"/>
      <c r="BV340" s="459"/>
      <c r="BW340" s="459"/>
      <c r="BX340" s="459"/>
      <c r="BY340" s="459"/>
      <c r="BZ340" s="459"/>
      <c r="CA340" s="459"/>
      <c r="CB340" s="459"/>
      <c r="CC340" s="459"/>
    </row>
    <row r="341" spans="1:81" s="467" customFormat="1" x14ac:dyDescent="0.2">
      <c r="A341" s="472"/>
      <c r="C341" s="473"/>
      <c r="G341" s="474"/>
      <c r="H341" s="473"/>
      <c r="P341" s="459"/>
      <c r="Q341" s="459"/>
      <c r="R341" s="459"/>
      <c r="S341" s="459"/>
      <c r="T341" s="459"/>
      <c r="U341" s="459"/>
      <c r="V341" s="459"/>
      <c r="W341" s="459"/>
      <c r="X341" s="459"/>
      <c r="Y341" s="459"/>
      <c r="Z341" s="459"/>
      <c r="AA341" s="459"/>
      <c r="AB341" s="459"/>
      <c r="AC341" s="459"/>
      <c r="AD341" s="459"/>
      <c r="AE341" s="459"/>
      <c r="AF341" s="459"/>
      <c r="AG341" s="459"/>
      <c r="AH341" s="459"/>
      <c r="AI341" s="459"/>
      <c r="AJ341" s="459"/>
      <c r="AK341" s="459"/>
      <c r="AL341" s="459"/>
      <c r="AM341" s="459"/>
      <c r="AN341" s="459"/>
      <c r="AO341" s="459"/>
      <c r="AP341" s="459"/>
      <c r="AQ341" s="459"/>
      <c r="AR341" s="459"/>
      <c r="AS341" s="459"/>
      <c r="AT341" s="459"/>
      <c r="AU341" s="459"/>
      <c r="AV341" s="459"/>
      <c r="AW341" s="459"/>
      <c r="AX341" s="459"/>
      <c r="AY341" s="459"/>
      <c r="AZ341" s="459"/>
      <c r="BA341" s="459"/>
      <c r="BB341" s="459"/>
      <c r="BC341" s="459"/>
      <c r="BD341" s="459"/>
      <c r="BE341" s="459"/>
      <c r="BF341" s="459"/>
      <c r="BG341" s="459"/>
      <c r="BH341" s="459"/>
      <c r="BI341" s="459"/>
      <c r="BJ341" s="459"/>
      <c r="BK341" s="459"/>
      <c r="BL341" s="459"/>
      <c r="BM341" s="459"/>
      <c r="BN341" s="459"/>
      <c r="BO341" s="459"/>
      <c r="BP341" s="459"/>
      <c r="BQ341" s="459"/>
      <c r="BR341" s="459"/>
      <c r="BS341" s="459"/>
      <c r="BT341" s="459"/>
      <c r="BU341" s="459"/>
      <c r="BV341" s="459"/>
      <c r="BW341" s="459"/>
      <c r="BX341" s="459"/>
      <c r="BY341" s="459"/>
      <c r="BZ341" s="459"/>
      <c r="CA341" s="459"/>
      <c r="CB341" s="459"/>
      <c r="CC341" s="459"/>
    </row>
    <row r="342" spans="1:81" s="467" customFormat="1" x14ac:dyDescent="0.2">
      <c r="A342" s="472"/>
      <c r="C342" s="473"/>
      <c r="G342" s="474"/>
      <c r="H342" s="473"/>
      <c r="P342" s="459"/>
      <c r="Q342" s="459"/>
      <c r="R342" s="459"/>
      <c r="S342" s="459"/>
      <c r="T342" s="459"/>
      <c r="U342" s="459"/>
      <c r="V342" s="459"/>
      <c r="W342" s="459"/>
      <c r="X342" s="459"/>
      <c r="Y342" s="459"/>
      <c r="Z342" s="459"/>
      <c r="AA342" s="459"/>
      <c r="AB342" s="459"/>
      <c r="AC342" s="459"/>
      <c r="AD342" s="459"/>
      <c r="AE342" s="459"/>
      <c r="AF342" s="459"/>
      <c r="AG342" s="459"/>
      <c r="AH342" s="459"/>
      <c r="AI342" s="459"/>
      <c r="AJ342" s="459"/>
      <c r="AK342" s="459"/>
      <c r="AL342" s="459"/>
      <c r="AM342" s="459"/>
      <c r="AN342" s="459"/>
      <c r="AO342" s="459"/>
      <c r="AP342" s="459"/>
      <c r="AQ342" s="459"/>
      <c r="AR342" s="459"/>
      <c r="AS342" s="459"/>
      <c r="AT342" s="459"/>
      <c r="AU342" s="459"/>
      <c r="AV342" s="459"/>
      <c r="AW342" s="459"/>
      <c r="AX342" s="459"/>
      <c r="AY342" s="459"/>
      <c r="AZ342" s="459"/>
      <c r="BA342" s="459"/>
      <c r="BB342" s="459"/>
      <c r="BC342" s="459"/>
      <c r="BD342" s="459"/>
      <c r="BE342" s="459"/>
      <c r="BF342" s="459"/>
      <c r="BG342" s="459"/>
      <c r="BH342" s="459"/>
      <c r="BI342" s="459"/>
      <c r="BJ342" s="459"/>
      <c r="BK342" s="459"/>
      <c r="BL342" s="459"/>
      <c r="BM342" s="459"/>
      <c r="BN342" s="459"/>
      <c r="BO342" s="459"/>
      <c r="BP342" s="459"/>
      <c r="BQ342" s="459"/>
      <c r="BR342" s="459"/>
      <c r="BS342" s="459"/>
      <c r="BT342" s="459"/>
      <c r="BU342" s="459"/>
      <c r="BV342" s="459"/>
      <c r="BW342" s="459"/>
      <c r="BX342" s="459"/>
      <c r="BY342" s="459"/>
      <c r="BZ342" s="459"/>
      <c r="CA342" s="459"/>
      <c r="CB342" s="459"/>
      <c r="CC342" s="459"/>
    </row>
    <row r="343" spans="1:81" s="467" customFormat="1" x14ac:dyDescent="0.2">
      <c r="A343" s="472"/>
      <c r="C343" s="473"/>
      <c r="G343" s="474"/>
      <c r="H343" s="473"/>
      <c r="P343" s="459"/>
      <c r="Q343" s="459"/>
      <c r="R343" s="459"/>
      <c r="S343" s="459"/>
      <c r="T343" s="459"/>
      <c r="U343" s="459"/>
      <c r="V343" s="459"/>
      <c r="W343" s="459"/>
      <c r="X343" s="459"/>
      <c r="Y343" s="459"/>
      <c r="Z343" s="459"/>
      <c r="AA343" s="459"/>
      <c r="AB343" s="459"/>
      <c r="AC343" s="459"/>
      <c r="AD343" s="459"/>
      <c r="AE343" s="459"/>
      <c r="AF343" s="459"/>
      <c r="AG343" s="459"/>
      <c r="AH343" s="459"/>
      <c r="AI343" s="459"/>
      <c r="AJ343" s="459"/>
      <c r="AK343" s="459"/>
      <c r="AL343" s="459"/>
      <c r="AM343" s="459"/>
      <c r="AN343" s="459"/>
      <c r="AO343" s="459"/>
      <c r="AP343" s="459"/>
      <c r="AQ343" s="459"/>
      <c r="AR343" s="459"/>
      <c r="AS343" s="459"/>
      <c r="AT343" s="459"/>
      <c r="AU343" s="459"/>
      <c r="AV343" s="459"/>
      <c r="AW343" s="459"/>
      <c r="AX343" s="459"/>
      <c r="AY343" s="459"/>
      <c r="AZ343" s="459"/>
      <c r="BA343" s="459"/>
      <c r="BB343" s="459"/>
      <c r="BC343" s="459"/>
      <c r="BD343" s="459"/>
      <c r="BE343" s="459"/>
      <c r="BF343" s="459"/>
      <c r="BG343" s="459"/>
      <c r="BH343" s="459"/>
      <c r="BI343" s="459"/>
      <c r="BJ343" s="459"/>
      <c r="BK343" s="459"/>
      <c r="BL343" s="459"/>
      <c r="BM343" s="459"/>
      <c r="BN343" s="459"/>
      <c r="BO343" s="459"/>
      <c r="BP343" s="459"/>
      <c r="BQ343" s="459"/>
      <c r="BR343" s="459"/>
      <c r="BS343" s="459"/>
      <c r="BT343" s="459"/>
      <c r="BU343" s="459"/>
      <c r="BV343" s="459"/>
      <c r="BW343" s="459"/>
      <c r="BX343" s="459"/>
      <c r="BY343" s="459"/>
      <c r="BZ343" s="459"/>
      <c r="CA343" s="459"/>
      <c r="CB343" s="459"/>
      <c r="CC343" s="459"/>
    </row>
    <row r="344" spans="1:81" s="467" customFormat="1" x14ac:dyDescent="0.2">
      <c r="A344" s="472"/>
      <c r="C344" s="473"/>
      <c r="G344" s="474"/>
      <c r="H344" s="473"/>
      <c r="P344" s="459"/>
      <c r="Q344" s="459"/>
      <c r="R344" s="459"/>
      <c r="S344" s="459"/>
      <c r="T344" s="459"/>
      <c r="U344" s="459"/>
      <c r="V344" s="459"/>
      <c r="W344" s="459"/>
      <c r="X344" s="459"/>
      <c r="Y344" s="459"/>
      <c r="Z344" s="459"/>
      <c r="AA344" s="459"/>
      <c r="AB344" s="459"/>
      <c r="AC344" s="459"/>
      <c r="AD344" s="459"/>
      <c r="AE344" s="459"/>
      <c r="AF344" s="459"/>
      <c r="AG344" s="459"/>
      <c r="AH344" s="459"/>
      <c r="AI344" s="459"/>
      <c r="AJ344" s="459"/>
      <c r="AK344" s="459"/>
      <c r="AL344" s="459"/>
      <c r="AM344" s="459"/>
      <c r="AN344" s="459"/>
      <c r="AO344" s="459"/>
      <c r="AP344" s="459"/>
      <c r="AQ344" s="459"/>
      <c r="AR344" s="459"/>
      <c r="AS344" s="459"/>
      <c r="AT344" s="459"/>
      <c r="AU344" s="459"/>
      <c r="AV344" s="459"/>
      <c r="AW344" s="459"/>
      <c r="AX344" s="459"/>
      <c r="AY344" s="459"/>
      <c r="AZ344" s="459"/>
      <c r="BA344" s="459"/>
      <c r="BB344" s="459"/>
      <c r="BC344" s="459"/>
      <c r="BD344" s="459"/>
      <c r="BE344" s="459"/>
      <c r="BF344" s="459"/>
      <c r="BG344" s="459"/>
      <c r="BH344" s="459"/>
      <c r="BI344" s="459"/>
      <c r="BJ344" s="459"/>
      <c r="BK344" s="459"/>
      <c r="BL344" s="459"/>
      <c r="BM344" s="459"/>
      <c r="BN344" s="459"/>
      <c r="BO344" s="459"/>
      <c r="BP344" s="459"/>
      <c r="BQ344" s="459"/>
      <c r="BR344" s="459"/>
      <c r="BS344" s="459"/>
      <c r="BT344" s="459"/>
      <c r="BU344" s="459"/>
      <c r="BV344" s="459"/>
      <c r="BW344" s="459"/>
      <c r="BX344" s="459"/>
      <c r="BY344" s="459"/>
      <c r="BZ344" s="459"/>
      <c r="CA344" s="459"/>
      <c r="CB344" s="459"/>
      <c r="CC344" s="459"/>
    </row>
    <row r="345" spans="1:81" s="467" customFormat="1" x14ac:dyDescent="0.2">
      <c r="A345" s="472"/>
      <c r="C345" s="473"/>
      <c r="G345" s="474"/>
      <c r="H345" s="473"/>
      <c r="P345" s="459"/>
      <c r="Q345" s="459"/>
      <c r="R345" s="459"/>
      <c r="S345" s="459"/>
      <c r="T345" s="459"/>
      <c r="U345" s="459"/>
      <c r="V345" s="459"/>
      <c r="W345" s="459"/>
      <c r="X345" s="459"/>
      <c r="Y345" s="459"/>
      <c r="Z345" s="459"/>
      <c r="AA345" s="459"/>
      <c r="AB345" s="459"/>
      <c r="AC345" s="459"/>
      <c r="AD345" s="459"/>
      <c r="AE345" s="459"/>
      <c r="AF345" s="459"/>
      <c r="AG345" s="459"/>
      <c r="AH345" s="459"/>
      <c r="AI345" s="459"/>
      <c r="AJ345" s="459"/>
      <c r="AK345" s="459"/>
      <c r="AL345" s="459"/>
      <c r="AM345" s="459"/>
      <c r="AN345" s="459"/>
      <c r="AO345" s="459"/>
      <c r="AP345" s="459"/>
      <c r="AQ345" s="459"/>
      <c r="AR345" s="459"/>
      <c r="AS345" s="459"/>
      <c r="AT345" s="459"/>
      <c r="AU345" s="459"/>
      <c r="AV345" s="459"/>
      <c r="AW345" s="459"/>
      <c r="AX345" s="459"/>
      <c r="AY345" s="459"/>
      <c r="AZ345" s="459"/>
      <c r="BA345" s="459"/>
      <c r="BB345" s="459"/>
      <c r="BC345" s="459"/>
      <c r="BD345" s="459"/>
      <c r="BE345" s="459"/>
      <c r="BF345" s="459"/>
      <c r="BG345" s="459"/>
      <c r="BH345" s="459"/>
      <c r="BI345" s="459"/>
      <c r="BJ345" s="459"/>
      <c r="BK345" s="459"/>
      <c r="BL345" s="459"/>
      <c r="BM345" s="459"/>
      <c r="BN345" s="459"/>
      <c r="BO345" s="459"/>
      <c r="BP345" s="459"/>
      <c r="BQ345" s="459"/>
      <c r="BR345" s="459"/>
      <c r="BS345" s="459"/>
      <c r="BT345" s="459"/>
      <c r="BU345" s="459"/>
      <c r="BV345" s="459"/>
      <c r="BW345" s="459"/>
      <c r="BX345" s="459"/>
      <c r="BY345" s="459"/>
      <c r="BZ345" s="459"/>
      <c r="CA345" s="459"/>
      <c r="CB345" s="459"/>
      <c r="CC345" s="459"/>
    </row>
    <row r="346" spans="1:81" s="467" customFormat="1" x14ac:dyDescent="0.2">
      <c r="A346" s="472"/>
      <c r="C346" s="473"/>
      <c r="G346" s="474"/>
      <c r="H346" s="473"/>
      <c r="P346" s="459"/>
      <c r="Q346" s="459"/>
      <c r="R346" s="459"/>
      <c r="S346" s="459"/>
      <c r="T346" s="459"/>
      <c r="U346" s="459"/>
      <c r="V346" s="459"/>
      <c r="W346" s="459"/>
      <c r="X346" s="459"/>
      <c r="Y346" s="459"/>
      <c r="Z346" s="459"/>
      <c r="AA346" s="459"/>
      <c r="AB346" s="459"/>
      <c r="AC346" s="459"/>
      <c r="AD346" s="459"/>
      <c r="AE346" s="459"/>
      <c r="AF346" s="459"/>
      <c r="AG346" s="459"/>
      <c r="AH346" s="459"/>
      <c r="AI346" s="459"/>
      <c r="AJ346" s="459"/>
      <c r="AK346" s="459"/>
      <c r="AL346" s="459"/>
      <c r="AM346" s="459"/>
      <c r="AN346" s="459"/>
      <c r="AO346" s="459"/>
      <c r="AP346" s="459"/>
      <c r="AQ346" s="459"/>
      <c r="AR346" s="459"/>
      <c r="AS346" s="459"/>
      <c r="AT346" s="459"/>
      <c r="AU346" s="459"/>
      <c r="AV346" s="459"/>
      <c r="AW346" s="459"/>
      <c r="AX346" s="459"/>
      <c r="AY346" s="459"/>
      <c r="AZ346" s="459"/>
      <c r="BA346" s="459"/>
      <c r="BB346" s="459"/>
      <c r="BC346" s="459"/>
      <c r="BD346" s="459"/>
      <c r="BE346" s="459"/>
      <c r="BF346" s="459"/>
      <c r="BG346" s="459"/>
      <c r="BH346" s="459"/>
      <c r="BI346" s="459"/>
      <c r="BJ346" s="459"/>
      <c r="BK346" s="459"/>
      <c r="BL346" s="459"/>
      <c r="BM346" s="459"/>
      <c r="BN346" s="459"/>
      <c r="BO346" s="459"/>
      <c r="BP346" s="459"/>
      <c r="BQ346" s="459"/>
      <c r="BR346" s="459"/>
      <c r="BS346" s="459"/>
      <c r="BT346" s="459"/>
      <c r="BU346" s="459"/>
      <c r="BV346" s="459"/>
      <c r="BW346" s="459"/>
      <c r="BX346" s="459"/>
      <c r="BY346" s="459"/>
      <c r="BZ346" s="459"/>
      <c r="CA346" s="459"/>
      <c r="CB346" s="459"/>
      <c r="CC346" s="459"/>
    </row>
    <row r="347" spans="1:81" s="467" customFormat="1" x14ac:dyDescent="0.2">
      <c r="A347" s="472"/>
      <c r="C347" s="473"/>
      <c r="G347" s="474"/>
      <c r="H347" s="473"/>
      <c r="P347" s="459"/>
      <c r="Q347" s="459"/>
      <c r="R347" s="459"/>
      <c r="S347" s="459"/>
      <c r="T347" s="459"/>
      <c r="U347" s="459"/>
      <c r="V347" s="459"/>
      <c r="W347" s="459"/>
      <c r="X347" s="459"/>
      <c r="Y347" s="459"/>
      <c r="Z347" s="459"/>
      <c r="AA347" s="459"/>
      <c r="AB347" s="459"/>
      <c r="AC347" s="459"/>
      <c r="AD347" s="459"/>
      <c r="AE347" s="459"/>
      <c r="AF347" s="459"/>
      <c r="AG347" s="459"/>
      <c r="AH347" s="459"/>
      <c r="AI347" s="459"/>
      <c r="AJ347" s="459"/>
      <c r="AK347" s="459"/>
      <c r="AL347" s="459"/>
      <c r="AM347" s="459"/>
      <c r="AN347" s="459"/>
      <c r="AO347" s="459"/>
      <c r="AP347" s="459"/>
      <c r="AQ347" s="459"/>
      <c r="AR347" s="459"/>
      <c r="AS347" s="459"/>
      <c r="AT347" s="459"/>
      <c r="AU347" s="459"/>
      <c r="AV347" s="459"/>
      <c r="AW347" s="459"/>
      <c r="AX347" s="459"/>
      <c r="AY347" s="459"/>
      <c r="AZ347" s="459"/>
      <c r="BA347" s="459"/>
      <c r="BB347" s="459"/>
      <c r="BC347" s="459"/>
      <c r="BD347" s="459"/>
      <c r="BE347" s="459"/>
      <c r="BF347" s="459"/>
      <c r="BG347" s="459"/>
      <c r="BH347" s="459"/>
      <c r="BI347" s="459"/>
      <c r="BJ347" s="459"/>
      <c r="BK347" s="459"/>
      <c r="BL347" s="459"/>
      <c r="BM347" s="459"/>
      <c r="BN347" s="459"/>
      <c r="BO347" s="459"/>
      <c r="BP347" s="459"/>
      <c r="BQ347" s="459"/>
      <c r="BR347" s="459"/>
      <c r="BS347" s="459"/>
      <c r="BT347" s="459"/>
      <c r="BU347" s="459"/>
      <c r="BV347" s="459"/>
      <c r="BW347" s="459"/>
      <c r="BX347" s="459"/>
      <c r="BY347" s="459"/>
      <c r="BZ347" s="459"/>
      <c r="CA347" s="459"/>
      <c r="CB347" s="459"/>
      <c r="CC347" s="459"/>
    </row>
    <row r="348" spans="1:81" s="467" customFormat="1" x14ac:dyDescent="0.2">
      <c r="A348" s="472"/>
      <c r="C348" s="473"/>
      <c r="G348" s="474"/>
      <c r="H348" s="473"/>
      <c r="P348" s="459"/>
      <c r="Q348" s="459"/>
      <c r="R348" s="459"/>
      <c r="S348" s="459"/>
      <c r="T348" s="459"/>
      <c r="U348" s="459"/>
      <c r="V348" s="459"/>
      <c r="W348" s="459"/>
      <c r="X348" s="459"/>
      <c r="Y348" s="459"/>
      <c r="Z348" s="459"/>
      <c r="AA348" s="459"/>
      <c r="AB348" s="459"/>
      <c r="AC348" s="459"/>
      <c r="AD348" s="459"/>
      <c r="AE348" s="459"/>
      <c r="AF348" s="459"/>
      <c r="AG348" s="459"/>
      <c r="AH348" s="459"/>
      <c r="AI348" s="459"/>
      <c r="AJ348" s="459"/>
      <c r="AK348" s="459"/>
      <c r="AL348" s="459"/>
      <c r="AM348" s="459"/>
      <c r="AN348" s="459"/>
      <c r="AO348" s="459"/>
      <c r="AP348" s="459"/>
      <c r="AQ348" s="459"/>
      <c r="AR348" s="459"/>
      <c r="AS348" s="459"/>
      <c r="AT348" s="459"/>
      <c r="AU348" s="459"/>
      <c r="AV348" s="459"/>
      <c r="AW348" s="459"/>
      <c r="AX348" s="459"/>
      <c r="AY348" s="459"/>
      <c r="AZ348" s="459"/>
      <c r="BA348" s="459"/>
      <c r="BB348" s="459"/>
      <c r="BC348" s="459"/>
      <c r="BD348" s="459"/>
      <c r="BE348" s="459"/>
      <c r="BF348" s="459"/>
      <c r="BG348" s="459"/>
      <c r="BH348" s="459"/>
      <c r="BI348" s="459"/>
      <c r="BJ348" s="459"/>
      <c r="BK348" s="459"/>
      <c r="BL348" s="459"/>
      <c r="BM348" s="459"/>
      <c r="BN348" s="459"/>
      <c r="BO348" s="459"/>
      <c r="BP348" s="459"/>
      <c r="BQ348" s="459"/>
      <c r="BR348" s="459"/>
      <c r="BS348" s="459"/>
      <c r="BT348" s="459"/>
      <c r="BU348" s="459"/>
      <c r="BV348" s="459"/>
      <c r="BW348" s="459"/>
      <c r="BX348" s="459"/>
      <c r="BY348" s="459"/>
      <c r="BZ348" s="459"/>
      <c r="CA348" s="459"/>
      <c r="CB348" s="459"/>
      <c r="CC348" s="459"/>
    </row>
    <row r="349" spans="1:81" s="467" customFormat="1" x14ac:dyDescent="0.2">
      <c r="A349" s="472"/>
      <c r="C349" s="473"/>
      <c r="G349" s="474"/>
      <c r="H349" s="473"/>
      <c r="P349" s="459"/>
      <c r="Q349" s="459"/>
      <c r="R349" s="459"/>
      <c r="S349" s="459"/>
      <c r="T349" s="459"/>
      <c r="U349" s="459"/>
      <c r="V349" s="459"/>
      <c r="W349" s="459"/>
      <c r="X349" s="459"/>
      <c r="Y349" s="459"/>
      <c r="Z349" s="459"/>
      <c r="AA349" s="459"/>
      <c r="AB349" s="459"/>
      <c r="AC349" s="459"/>
      <c r="AD349" s="459"/>
      <c r="AE349" s="459"/>
      <c r="AF349" s="459"/>
      <c r="AG349" s="459"/>
      <c r="AH349" s="459"/>
      <c r="AI349" s="459"/>
      <c r="AJ349" s="459"/>
      <c r="AK349" s="459"/>
      <c r="AL349" s="459"/>
      <c r="AM349" s="459"/>
      <c r="AN349" s="459"/>
      <c r="AO349" s="459"/>
      <c r="AP349" s="459"/>
      <c r="AQ349" s="459"/>
      <c r="AR349" s="459"/>
      <c r="AS349" s="459"/>
      <c r="AT349" s="459"/>
      <c r="AU349" s="459"/>
      <c r="AV349" s="459"/>
      <c r="AW349" s="459"/>
      <c r="AX349" s="459"/>
      <c r="AY349" s="459"/>
      <c r="AZ349" s="459"/>
      <c r="BA349" s="459"/>
      <c r="BB349" s="459"/>
      <c r="BC349" s="459"/>
      <c r="BD349" s="459"/>
      <c r="BE349" s="459"/>
      <c r="BF349" s="459"/>
      <c r="BG349" s="459"/>
      <c r="BH349" s="459"/>
      <c r="BI349" s="459"/>
      <c r="BJ349" s="459"/>
      <c r="BK349" s="459"/>
      <c r="BL349" s="459"/>
      <c r="BM349" s="459"/>
      <c r="BN349" s="459"/>
      <c r="BO349" s="459"/>
      <c r="BP349" s="459"/>
      <c r="BQ349" s="459"/>
      <c r="BR349" s="459"/>
      <c r="BS349" s="459"/>
      <c r="BT349" s="459"/>
      <c r="BU349" s="459"/>
      <c r="BV349" s="459"/>
      <c r="BW349" s="459"/>
      <c r="BX349" s="459"/>
      <c r="BY349" s="459"/>
      <c r="BZ349" s="459"/>
      <c r="CA349" s="459"/>
      <c r="CB349" s="459"/>
      <c r="CC349" s="459"/>
    </row>
    <row r="350" spans="1:81" s="467" customFormat="1" x14ac:dyDescent="0.2">
      <c r="A350" s="472"/>
      <c r="C350" s="473"/>
      <c r="G350" s="474"/>
      <c r="H350" s="473"/>
      <c r="P350" s="459"/>
      <c r="Q350" s="459"/>
      <c r="R350" s="459"/>
      <c r="S350" s="459"/>
      <c r="T350" s="459"/>
      <c r="U350" s="459"/>
      <c r="V350" s="459"/>
      <c r="W350" s="459"/>
      <c r="X350" s="459"/>
      <c r="Y350" s="459"/>
      <c r="Z350" s="459"/>
      <c r="AA350" s="459"/>
      <c r="AB350" s="459"/>
      <c r="AC350" s="459"/>
      <c r="AD350" s="459"/>
      <c r="AE350" s="459"/>
      <c r="AF350" s="459"/>
      <c r="AG350" s="459"/>
      <c r="AH350" s="459"/>
      <c r="AI350" s="459"/>
      <c r="AJ350" s="459"/>
      <c r="AK350" s="459"/>
      <c r="AL350" s="459"/>
      <c r="AM350" s="459"/>
      <c r="AN350" s="459"/>
      <c r="AO350" s="459"/>
      <c r="AP350" s="459"/>
      <c r="AQ350" s="459"/>
      <c r="AR350" s="459"/>
      <c r="AS350" s="459"/>
      <c r="AT350" s="459"/>
      <c r="AU350" s="459"/>
      <c r="AV350" s="459"/>
      <c r="AW350" s="459"/>
      <c r="AX350" s="459"/>
      <c r="AY350" s="459"/>
      <c r="AZ350" s="459"/>
      <c r="BA350" s="459"/>
      <c r="BB350" s="459"/>
      <c r="BC350" s="459"/>
      <c r="BD350" s="459"/>
      <c r="BE350" s="459"/>
      <c r="BF350" s="459"/>
      <c r="BG350" s="459"/>
      <c r="BH350" s="459"/>
      <c r="BI350" s="459"/>
      <c r="BJ350" s="459"/>
      <c r="BK350" s="459"/>
      <c r="BL350" s="459"/>
      <c r="BM350" s="459"/>
      <c r="BN350" s="459"/>
      <c r="BO350" s="459"/>
      <c r="BP350" s="459"/>
      <c r="BQ350" s="459"/>
      <c r="BR350" s="459"/>
      <c r="BS350" s="459"/>
      <c r="BT350" s="459"/>
      <c r="BU350" s="459"/>
      <c r="BV350" s="459"/>
      <c r="BW350" s="459"/>
      <c r="BX350" s="459"/>
      <c r="BY350" s="459"/>
      <c r="BZ350" s="459"/>
      <c r="CA350" s="459"/>
      <c r="CB350" s="459"/>
      <c r="CC350" s="459"/>
    </row>
    <row r="351" spans="1:81" s="467" customFormat="1" x14ac:dyDescent="0.2">
      <c r="A351" s="472"/>
      <c r="C351" s="473"/>
      <c r="G351" s="474"/>
      <c r="H351" s="473"/>
      <c r="P351" s="459"/>
      <c r="Q351" s="459"/>
      <c r="R351" s="459"/>
      <c r="S351" s="459"/>
      <c r="T351" s="459"/>
      <c r="U351" s="459"/>
      <c r="V351" s="459"/>
      <c r="W351" s="459"/>
      <c r="X351" s="459"/>
      <c r="Y351" s="459"/>
      <c r="Z351" s="459"/>
      <c r="AA351" s="459"/>
      <c r="AB351" s="459"/>
      <c r="AC351" s="459"/>
      <c r="AD351" s="459"/>
      <c r="AE351" s="459"/>
      <c r="AF351" s="459"/>
      <c r="AG351" s="459"/>
      <c r="AH351" s="459"/>
      <c r="AI351" s="459"/>
      <c r="AJ351" s="459"/>
      <c r="AK351" s="459"/>
      <c r="AL351" s="459"/>
      <c r="AM351" s="459"/>
      <c r="AN351" s="459"/>
      <c r="AO351" s="459"/>
      <c r="AP351" s="459"/>
      <c r="AQ351" s="459"/>
      <c r="AR351" s="459"/>
      <c r="AS351" s="459"/>
      <c r="AT351" s="459"/>
      <c r="AU351" s="459"/>
      <c r="AV351" s="459"/>
      <c r="AW351" s="459"/>
      <c r="AX351" s="459"/>
      <c r="AY351" s="459"/>
      <c r="AZ351" s="459"/>
      <c r="BA351" s="459"/>
      <c r="BB351" s="459"/>
      <c r="BC351" s="459"/>
      <c r="BD351" s="459"/>
      <c r="BE351" s="459"/>
      <c r="BF351" s="459"/>
      <c r="BG351" s="459"/>
      <c r="BH351" s="459"/>
      <c r="BI351" s="459"/>
      <c r="BJ351" s="459"/>
      <c r="BK351" s="459"/>
      <c r="BL351" s="459"/>
      <c r="BM351" s="459"/>
      <c r="BN351" s="459"/>
      <c r="BO351" s="459"/>
      <c r="BP351" s="459"/>
      <c r="BQ351" s="459"/>
      <c r="BR351" s="459"/>
      <c r="BS351" s="459"/>
      <c r="BT351" s="459"/>
      <c r="BU351" s="459"/>
      <c r="BV351" s="459"/>
      <c r="BW351" s="459"/>
      <c r="BX351" s="459"/>
      <c r="BY351" s="459"/>
      <c r="BZ351" s="459"/>
      <c r="CA351" s="459"/>
      <c r="CB351" s="459"/>
      <c r="CC351" s="459"/>
    </row>
    <row r="352" spans="1:81" s="467" customFormat="1" x14ac:dyDescent="0.2">
      <c r="A352" s="472"/>
      <c r="C352" s="473"/>
      <c r="G352" s="474"/>
      <c r="H352" s="473"/>
      <c r="P352" s="459"/>
      <c r="Q352" s="459"/>
      <c r="R352" s="459"/>
      <c r="S352" s="459"/>
      <c r="T352" s="459"/>
      <c r="U352" s="459"/>
      <c r="V352" s="459"/>
      <c r="W352" s="459"/>
      <c r="X352" s="459"/>
      <c r="Y352" s="459"/>
      <c r="Z352" s="459"/>
      <c r="AA352" s="459"/>
      <c r="AB352" s="459"/>
      <c r="AC352" s="459"/>
      <c r="AD352" s="459"/>
      <c r="AE352" s="459"/>
      <c r="AF352" s="459"/>
      <c r="AG352" s="459"/>
      <c r="AH352" s="459"/>
      <c r="AI352" s="459"/>
      <c r="AJ352" s="459"/>
      <c r="AK352" s="459"/>
      <c r="AL352" s="459"/>
      <c r="AM352" s="459"/>
      <c r="AN352" s="459"/>
      <c r="AO352" s="459"/>
      <c r="AP352" s="459"/>
      <c r="AQ352" s="459"/>
      <c r="AR352" s="459"/>
      <c r="AS352" s="459"/>
      <c r="AT352" s="459"/>
      <c r="AU352" s="459"/>
      <c r="AV352" s="459"/>
      <c r="AW352" s="459"/>
      <c r="AX352" s="459"/>
      <c r="AY352" s="459"/>
      <c r="AZ352" s="459"/>
      <c r="BA352" s="459"/>
      <c r="BB352" s="459"/>
      <c r="BC352" s="459"/>
      <c r="BD352" s="459"/>
      <c r="BE352" s="459"/>
      <c r="BF352" s="459"/>
      <c r="BG352" s="459"/>
      <c r="BH352" s="459"/>
      <c r="BI352" s="459"/>
      <c r="BJ352" s="459"/>
      <c r="BK352" s="459"/>
      <c r="BL352" s="459"/>
      <c r="BM352" s="459"/>
      <c r="BN352" s="459"/>
      <c r="BO352" s="459"/>
      <c r="BP352" s="459"/>
      <c r="BQ352" s="459"/>
      <c r="BR352" s="459"/>
      <c r="BS352" s="459"/>
      <c r="BT352" s="459"/>
      <c r="BU352" s="459"/>
      <c r="BV352" s="459"/>
      <c r="BW352" s="459"/>
      <c r="BX352" s="459"/>
      <c r="BY352" s="459"/>
      <c r="BZ352" s="459"/>
      <c r="CA352" s="459"/>
      <c r="CB352" s="459"/>
      <c r="CC352" s="459"/>
    </row>
    <row r="353" spans="1:81" s="467" customFormat="1" x14ac:dyDescent="0.2">
      <c r="A353" s="472"/>
      <c r="C353" s="473"/>
      <c r="G353" s="474"/>
      <c r="H353" s="473"/>
      <c r="P353" s="459"/>
      <c r="Q353" s="459"/>
      <c r="R353" s="459"/>
      <c r="S353" s="459"/>
      <c r="T353" s="459"/>
      <c r="U353" s="459"/>
      <c r="V353" s="459"/>
      <c r="W353" s="459"/>
      <c r="X353" s="459"/>
      <c r="Y353" s="459"/>
      <c r="Z353" s="459"/>
      <c r="AA353" s="459"/>
      <c r="AB353" s="459"/>
      <c r="AC353" s="459"/>
      <c r="AD353" s="459"/>
      <c r="AE353" s="459"/>
      <c r="AF353" s="459"/>
      <c r="AG353" s="459"/>
      <c r="AH353" s="459"/>
      <c r="AI353" s="459"/>
      <c r="AJ353" s="459"/>
      <c r="AK353" s="459"/>
      <c r="AL353" s="459"/>
      <c r="AM353" s="459"/>
      <c r="AN353" s="459"/>
      <c r="AO353" s="459"/>
      <c r="AP353" s="459"/>
      <c r="AQ353" s="459"/>
      <c r="AR353" s="459"/>
      <c r="AS353" s="459"/>
      <c r="AT353" s="459"/>
      <c r="AU353" s="459"/>
      <c r="AV353" s="459"/>
      <c r="AW353" s="459"/>
      <c r="AX353" s="459"/>
      <c r="AY353" s="459"/>
      <c r="AZ353" s="459"/>
      <c r="BA353" s="459"/>
      <c r="BB353" s="459"/>
      <c r="BC353" s="459"/>
      <c r="BD353" s="459"/>
      <c r="BE353" s="459"/>
      <c r="BF353" s="459"/>
      <c r="BG353" s="459"/>
      <c r="BH353" s="459"/>
      <c r="BI353" s="459"/>
      <c r="BJ353" s="459"/>
      <c r="BK353" s="459"/>
      <c r="BL353" s="459"/>
      <c r="BM353" s="459"/>
      <c r="BN353" s="459"/>
      <c r="BO353" s="459"/>
      <c r="BP353" s="459"/>
      <c r="BQ353" s="459"/>
      <c r="BR353" s="459"/>
      <c r="BS353" s="459"/>
      <c r="BT353" s="459"/>
      <c r="BU353" s="459"/>
      <c r="BV353" s="459"/>
      <c r="BW353" s="459"/>
      <c r="BX353" s="459"/>
      <c r="BY353" s="459"/>
      <c r="BZ353" s="459"/>
      <c r="CA353" s="459"/>
      <c r="CB353" s="459"/>
      <c r="CC353" s="459"/>
    </row>
    <row r="354" spans="1:81" s="467" customFormat="1" x14ac:dyDescent="0.2">
      <c r="A354" s="472"/>
      <c r="C354" s="473"/>
      <c r="G354" s="474"/>
      <c r="H354" s="473"/>
      <c r="P354" s="459"/>
      <c r="Q354" s="459"/>
      <c r="R354" s="459"/>
      <c r="S354" s="459"/>
      <c r="T354" s="459"/>
      <c r="U354" s="459"/>
      <c r="V354" s="459"/>
      <c r="W354" s="459"/>
      <c r="X354" s="459"/>
      <c r="Y354" s="459"/>
      <c r="Z354" s="459"/>
      <c r="AA354" s="459"/>
      <c r="AB354" s="459"/>
      <c r="AC354" s="459"/>
      <c r="AD354" s="459"/>
      <c r="AE354" s="459"/>
      <c r="AF354" s="459"/>
      <c r="AG354" s="459"/>
      <c r="AH354" s="459"/>
      <c r="AI354" s="459"/>
      <c r="AJ354" s="459"/>
      <c r="AK354" s="459"/>
      <c r="AL354" s="459"/>
      <c r="AM354" s="459"/>
      <c r="AN354" s="459"/>
      <c r="AO354" s="459"/>
      <c r="AP354" s="459"/>
      <c r="AQ354" s="459"/>
      <c r="AR354" s="459"/>
      <c r="AS354" s="459"/>
      <c r="AT354" s="459"/>
      <c r="AU354" s="459"/>
      <c r="AV354" s="459"/>
      <c r="AW354" s="459"/>
      <c r="AX354" s="459"/>
      <c r="AY354" s="459"/>
      <c r="AZ354" s="459"/>
      <c r="BA354" s="459"/>
      <c r="BB354" s="459"/>
      <c r="BC354" s="459"/>
      <c r="BD354" s="459"/>
      <c r="BE354" s="459"/>
      <c r="BF354" s="459"/>
      <c r="BG354" s="459"/>
      <c r="BH354" s="459"/>
      <c r="BI354" s="459"/>
      <c r="BJ354" s="459"/>
      <c r="BK354" s="459"/>
      <c r="BL354" s="459"/>
      <c r="BM354" s="459"/>
      <c r="BN354" s="459"/>
      <c r="BO354" s="459"/>
      <c r="BP354" s="459"/>
      <c r="BQ354" s="459"/>
      <c r="BR354" s="459"/>
      <c r="BS354" s="459"/>
      <c r="BT354" s="459"/>
      <c r="BU354" s="459"/>
      <c r="BV354" s="459"/>
      <c r="BW354" s="459"/>
      <c r="BX354" s="459"/>
      <c r="BY354" s="459"/>
      <c r="BZ354" s="459"/>
      <c r="CA354" s="459"/>
      <c r="CB354" s="459"/>
      <c r="CC354" s="459"/>
    </row>
    <row r="355" spans="1:81" s="467" customFormat="1" x14ac:dyDescent="0.2">
      <c r="A355" s="472"/>
      <c r="C355" s="473"/>
      <c r="G355" s="474"/>
      <c r="H355" s="473"/>
      <c r="P355" s="459"/>
      <c r="Q355" s="459"/>
      <c r="R355" s="459"/>
      <c r="S355" s="459"/>
      <c r="T355" s="459"/>
      <c r="U355" s="459"/>
      <c r="V355" s="459"/>
      <c r="W355" s="459"/>
      <c r="X355" s="459"/>
      <c r="Y355" s="459"/>
      <c r="Z355" s="459"/>
      <c r="AA355" s="459"/>
      <c r="AB355" s="459"/>
      <c r="AC355" s="459"/>
      <c r="AD355" s="459"/>
      <c r="AE355" s="459"/>
      <c r="AF355" s="459"/>
      <c r="AG355" s="459"/>
      <c r="AH355" s="459"/>
      <c r="AI355" s="459"/>
      <c r="AJ355" s="459"/>
      <c r="AK355" s="459"/>
      <c r="AL355" s="459"/>
      <c r="AM355" s="459"/>
      <c r="AN355" s="459"/>
      <c r="AO355" s="459"/>
      <c r="AP355" s="459"/>
      <c r="AQ355" s="459"/>
      <c r="AR355" s="459"/>
      <c r="AS355" s="459"/>
      <c r="AT355" s="459"/>
      <c r="AU355" s="459"/>
      <c r="AV355" s="459"/>
      <c r="AW355" s="459"/>
      <c r="AX355" s="459"/>
      <c r="AY355" s="459"/>
      <c r="AZ355" s="459"/>
      <c r="BA355" s="459"/>
      <c r="BB355" s="459"/>
      <c r="BC355" s="459"/>
      <c r="BD355" s="459"/>
      <c r="BE355" s="459"/>
      <c r="BF355" s="459"/>
      <c r="BG355" s="459"/>
      <c r="BH355" s="459"/>
      <c r="BI355" s="459"/>
      <c r="BJ355" s="459"/>
      <c r="BK355" s="459"/>
      <c r="BL355" s="459"/>
      <c r="BM355" s="459"/>
      <c r="BN355" s="459"/>
      <c r="BO355" s="459"/>
      <c r="BP355" s="459"/>
      <c r="BQ355" s="459"/>
      <c r="BR355" s="459"/>
      <c r="BS355" s="459"/>
      <c r="BT355" s="459"/>
      <c r="BU355" s="459"/>
      <c r="BV355" s="459"/>
      <c r="BW355" s="459"/>
      <c r="BX355" s="459"/>
      <c r="BY355" s="459"/>
      <c r="BZ355" s="459"/>
      <c r="CA355" s="459"/>
      <c r="CB355" s="459"/>
      <c r="CC355" s="459"/>
    </row>
    <row r="356" spans="1:81" s="467" customFormat="1" x14ac:dyDescent="0.2">
      <c r="A356" s="472"/>
      <c r="C356" s="473"/>
      <c r="G356" s="474"/>
      <c r="H356" s="473"/>
      <c r="P356" s="459"/>
      <c r="Q356" s="459"/>
      <c r="R356" s="459"/>
      <c r="S356" s="459"/>
      <c r="T356" s="459"/>
      <c r="U356" s="459"/>
      <c r="V356" s="459"/>
      <c r="W356" s="459"/>
      <c r="X356" s="459"/>
      <c r="Y356" s="459"/>
      <c r="Z356" s="459"/>
      <c r="AA356" s="459"/>
      <c r="AB356" s="459"/>
      <c r="AC356" s="459"/>
      <c r="AD356" s="459"/>
      <c r="AE356" s="459"/>
      <c r="AF356" s="459"/>
      <c r="AG356" s="459"/>
      <c r="AH356" s="459"/>
      <c r="AI356" s="459"/>
      <c r="AJ356" s="459"/>
      <c r="AK356" s="459"/>
      <c r="AL356" s="459"/>
      <c r="AM356" s="459"/>
      <c r="AN356" s="459"/>
      <c r="AO356" s="459"/>
      <c r="AP356" s="459"/>
      <c r="AQ356" s="459"/>
      <c r="AR356" s="459"/>
      <c r="AS356" s="459"/>
      <c r="AT356" s="459"/>
      <c r="AU356" s="459"/>
      <c r="AV356" s="459"/>
      <c r="AW356" s="459"/>
      <c r="AX356" s="459"/>
      <c r="AY356" s="459"/>
      <c r="AZ356" s="459"/>
      <c r="BA356" s="459"/>
      <c r="BB356" s="459"/>
      <c r="BC356" s="459"/>
      <c r="BD356" s="459"/>
      <c r="BE356" s="459"/>
      <c r="BF356" s="459"/>
      <c r="BG356" s="459"/>
      <c r="BH356" s="459"/>
      <c r="BI356" s="459"/>
      <c r="BJ356" s="459"/>
      <c r="BK356" s="459"/>
      <c r="BL356" s="459"/>
      <c r="BM356" s="459"/>
      <c r="BN356" s="459"/>
      <c r="BO356" s="459"/>
      <c r="BP356" s="459"/>
      <c r="BQ356" s="459"/>
      <c r="BR356" s="459"/>
      <c r="BS356" s="459"/>
      <c r="BT356" s="459"/>
      <c r="BU356" s="459"/>
      <c r="BV356" s="459"/>
      <c r="BW356" s="459"/>
      <c r="BX356" s="459"/>
      <c r="BY356" s="459"/>
      <c r="BZ356" s="459"/>
      <c r="CA356" s="459"/>
      <c r="CB356" s="459"/>
      <c r="CC356" s="459"/>
    </row>
    <row r="357" spans="1:81" s="467" customFormat="1" x14ac:dyDescent="0.2">
      <c r="A357" s="472"/>
      <c r="C357" s="473"/>
      <c r="G357" s="474"/>
      <c r="H357" s="473"/>
      <c r="P357" s="459"/>
      <c r="Q357" s="459"/>
      <c r="R357" s="459"/>
      <c r="S357" s="459"/>
      <c r="T357" s="459"/>
      <c r="U357" s="459"/>
      <c r="V357" s="459"/>
      <c r="W357" s="459"/>
      <c r="X357" s="459"/>
      <c r="Y357" s="459"/>
      <c r="Z357" s="459"/>
      <c r="AA357" s="459"/>
      <c r="AB357" s="459"/>
      <c r="AC357" s="459"/>
      <c r="AD357" s="459"/>
      <c r="AE357" s="459"/>
      <c r="AF357" s="459"/>
      <c r="AG357" s="459"/>
      <c r="AH357" s="459"/>
      <c r="AI357" s="459"/>
      <c r="AJ357" s="459"/>
      <c r="AK357" s="459"/>
      <c r="AL357" s="459"/>
      <c r="AM357" s="459"/>
      <c r="AN357" s="459"/>
      <c r="AO357" s="459"/>
      <c r="AP357" s="459"/>
      <c r="AQ357" s="459"/>
      <c r="AR357" s="459"/>
      <c r="AS357" s="459"/>
      <c r="AT357" s="459"/>
      <c r="AU357" s="459"/>
      <c r="AV357" s="459"/>
      <c r="AW357" s="459"/>
      <c r="AX357" s="459"/>
      <c r="AY357" s="459"/>
      <c r="AZ357" s="459"/>
      <c r="BA357" s="459"/>
      <c r="BB357" s="459"/>
      <c r="BC357" s="459"/>
      <c r="BD357" s="459"/>
      <c r="BE357" s="459"/>
      <c r="BF357" s="459"/>
      <c r="BG357" s="459"/>
      <c r="BH357" s="459"/>
      <c r="BI357" s="459"/>
      <c r="BJ357" s="459"/>
      <c r="BK357" s="459"/>
      <c r="BL357" s="459"/>
      <c r="BM357" s="459"/>
      <c r="BN357" s="459"/>
      <c r="BO357" s="459"/>
      <c r="BP357" s="459"/>
      <c r="BQ357" s="459"/>
      <c r="BR357" s="459"/>
      <c r="BS357" s="459"/>
      <c r="BT357" s="459"/>
      <c r="BU357" s="459"/>
      <c r="BV357" s="459"/>
      <c r="BW357" s="459"/>
      <c r="BX357" s="459"/>
      <c r="BY357" s="459"/>
      <c r="BZ357" s="459"/>
      <c r="CA357" s="459"/>
      <c r="CB357" s="459"/>
      <c r="CC357" s="459"/>
    </row>
    <row r="358" spans="1:81" s="467" customFormat="1" x14ac:dyDescent="0.2">
      <c r="A358" s="472"/>
      <c r="C358" s="473"/>
      <c r="G358" s="474"/>
      <c r="H358" s="473"/>
      <c r="P358" s="459"/>
      <c r="Q358" s="459"/>
      <c r="R358" s="459"/>
      <c r="S358" s="459"/>
      <c r="T358" s="459"/>
      <c r="U358" s="459"/>
      <c r="V358" s="459"/>
      <c r="W358" s="459"/>
      <c r="X358" s="459"/>
      <c r="Y358" s="459"/>
      <c r="Z358" s="459"/>
      <c r="AA358" s="459"/>
      <c r="AB358" s="459"/>
      <c r="AC358" s="459"/>
      <c r="AD358" s="459"/>
      <c r="AE358" s="459"/>
      <c r="AF358" s="459"/>
      <c r="AG358" s="459"/>
      <c r="AH358" s="459"/>
      <c r="AI358" s="459"/>
      <c r="AJ358" s="459"/>
      <c r="AK358" s="459"/>
      <c r="AL358" s="459"/>
      <c r="AM358" s="459"/>
      <c r="AN358" s="459"/>
      <c r="AO358" s="459"/>
      <c r="AP358" s="459"/>
      <c r="AQ358" s="459"/>
      <c r="AR358" s="459"/>
      <c r="AS358" s="459"/>
      <c r="AT358" s="459"/>
      <c r="AU358" s="459"/>
      <c r="AV358" s="459"/>
      <c r="AW358" s="459"/>
      <c r="AX358" s="459"/>
      <c r="AY358" s="459"/>
      <c r="AZ358" s="459"/>
      <c r="BA358" s="459"/>
      <c r="BB358" s="459"/>
      <c r="BC358" s="459"/>
      <c r="BD358" s="459"/>
      <c r="BE358" s="459"/>
      <c r="BF358" s="459"/>
      <c r="BG358" s="459"/>
      <c r="BH358" s="459"/>
      <c r="BI358" s="459"/>
      <c r="BJ358" s="459"/>
      <c r="BK358" s="459"/>
      <c r="BL358" s="459"/>
      <c r="BM358" s="459"/>
      <c r="BN358" s="459"/>
      <c r="BO358" s="459"/>
      <c r="BP358" s="459"/>
      <c r="BQ358" s="459"/>
      <c r="BR358" s="459"/>
      <c r="BS358" s="459"/>
      <c r="BT358" s="459"/>
      <c r="BU358" s="459"/>
      <c r="BV358" s="459"/>
      <c r="BW358" s="459"/>
      <c r="BX358" s="459"/>
      <c r="BY358" s="459"/>
      <c r="BZ358" s="459"/>
      <c r="CA358" s="459"/>
      <c r="CB358" s="459"/>
      <c r="CC358" s="459"/>
    </row>
    <row r="359" spans="1:81" s="467" customFormat="1" x14ac:dyDescent="0.2">
      <c r="A359" s="472"/>
      <c r="C359" s="473"/>
      <c r="G359" s="474"/>
      <c r="H359" s="473"/>
      <c r="P359" s="459"/>
      <c r="Q359" s="459"/>
      <c r="R359" s="459"/>
      <c r="S359" s="459"/>
      <c r="T359" s="459"/>
      <c r="U359" s="459"/>
      <c r="V359" s="459"/>
      <c r="W359" s="459"/>
      <c r="X359" s="459"/>
      <c r="Y359" s="459"/>
      <c r="Z359" s="459"/>
      <c r="AA359" s="459"/>
      <c r="AB359" s="459"/>
      <c r="AC359" s="459"/>
      <c r="AD359" s="459"/>
      <c r="AE359" s="459"/>
      <c r="AF359" s="459"/>
      <c r="AG359" s="459"/>
      <c r="AH359" s="459"/>
      <c r="AI359" s="459"/>
      <c r="AJ359" s="459"/>
      <c r="AK359" s="459"/>
      <c r="AL359" s="459"/>
      <c r="AM359" s="459"/>
      <c r="AN359" s="459"/>
      <c r="AO359" s="459"/>
      <c r="AP359" s="459"/>
      <c r="AQ359" s="459"/>
      <c r="AR359" s="459"/>
      <c r="AS359" s="459"/>
      <c r="AT359" s="459"/>
      <c r="AU359" s="459"/>
      <c r="AV359" s="459"/>
      <c r="AW359" s="459"/>
      <c r="AX359" s="459"/>
      <c r="AY359" s="459"/>
      <c r="AZ359" s="459"/>
      <c r="BA359" s="459"/>
      <c r="BB359" s="459"/>
      <c r="BC359" s="459"/>
      <c r="BD359" s="459"/>
      <c r="BE359" s="459"/>
      <c r="BF359" s="459"/>
      <c r="BG359" s="459"/>
      <c r="BH359" s="459"/>
      <c r="BI359" s="459"/>
      <c r="BJ359" s="459"/>
      <c r="BK359" s="459"/>
      <c r="BL359" s="459"/>
      <c r="BM359" s="459"/>
      <c r="BN359" s="459"/>
      <c r="BO359" s="459"/>
      <c r="BP359" s="459"/>
      <c r="BQ359" s="459"/>
      <c r="BR359" s="459"/>
      <c r="BS359" s="459"/>
      <c r="BT359" s="459"/>
      <c r="BU359" s="459"/>
      <c r="BV359" s="459"/>
      <c r="BW359" s="459"/>
      <c r="BX359" s="459"/>
      <c r="BY359" s="459"/>
      <c r="BZ359" s="459"/>
      <c r="CA359" s="459"/>
      <c r="CB359" s="459"/>
      <c r="CC359" s="459"/>
    </row>
    <row r="360" spans="1:81" s="467" customFormat="1" x14ac:dyDescent="0.2">
      <c r="A360" s="472"/>
      <c r="C360" s="473"/>
      <c r="G360" s="474"/>
      <c r="H360" s="473"/>
      <c r="P360" s="459"/>
      <c r="Q360" s="459"/>
      <c r="R360" s="459"/>
      <c r="S360" s="459"/>
      <c r="T360" s="459"/>
      <c r="U360" s="459"/>
      <c r="V360" s="459"/>
      <c r="W360" s="459"/>
      <c r="X360" s="459"/>
      <c r="Y360" s="459"/>
      <c r="Z360" s="459"/>
      <c r="AA360" s="459"/>
      <c r="AB360" s="459"/>
      <c r="AC360" s="459"/>
      <c r="AD360" s="459"/>
      <c r="AE360" s="459"/>
      <c r="AF360" s="459"/>
      <c r="AG360" s="459"/>
      <c r="AH360" s="459"/>
      <c r="AI360" s="459"/>
      <c r="AJ360" s="459"/>
      <c r="AK360" s="459"/>
      <c r="AL360" s="459"/>
      <c r="AM360" s="459"/>
      <c r="AN360" s="459"/>
      <c r="AO360" s="459"/>
      <c r="AP360" s="459"/>
      <c r="AQ360" s="459"/>
      <c r="AR360" s="459"/>
      <c r="AS360" s="459"/>
      <c r="AT360" s="459"/>
      <c r="AU360" s="459"/>
      <c r="AV360" s="459"/>
      <c r="AW360" s="459"/>
      <c r="AX360" s="459"/>
      <c r="AY360" s="459"/>
      <c r="AZ360" s="459"/>
      <c r="BA360" s="459"/>
      <c r="BB360" s="459"/>
      <c r="BC360" s="459"/>
      <c r="BD360" s="459"/>
      <c r="BE360" s="459"/>
      <c r="BF360" s="459"/>
      <c r="BG360" s="459"/>
      <c r="BH360" s="459"/>
      <c r="BI360" s="459"/>
      <c r="BJ360" s="459"/>
      <c r="BK360" s="459"/>
      <c r="BL360" s="459"/>
      <c r="BM360" s="459"/>
      <c r="BN360" s="459"/>
      <c r="BO360" s="459"/>
      <c r="BP360" s="459"/>
      <c r="BQ360" s="459"/>
      <c r="BR360" s="459"/>
      <c r="BS360" s="459"/>
      <c r="BT360" s="459"/>
      <c r="BU360" s="459"/>
      <c r="BV360" s="459"/>
      <c r="BW360" s="459"/>
      <c r="BX360" s="459"/>
      <c r="BY360" s="459"/>
      <c r="BZ360" s="459"/>
      <c r="CA360" s="459"/>
      <c r="CB360" s="459"/>
      <c r="CC360" s="459"/>
    </row>
    <row r="361" spans="1:81" s="467" customFormat="1" x14ac:dyDescent="0.2">
      <c r="A361" s="472"/>
      <c r="C361" s="473"/>
      <c r="G361" s="474"/>
      <c r="H361" s="473"/>
      <c r="P361" s="459"/>
      <c r="Q361" s="459"/>
      <c r="R361" s="459"/>
      <c r="S361" s="459"/>
      <c r="T361" s="459"/>
      <c r="U361" s="459"/>
      <c r="V361" s="459"/>
      <c r="W361" s="459"/>
      <c r="X361" s="459"/>
      <c r="Y361" s="459"/>
      <c r="Z361" s="459"/>
      <c r="AA361" s="459"/>
      <c r="AB361" s="459"/>
      <c r="AC361" s="459"/>
      <c r="AD361" s="459"/>
      <c r="AE361" s="459"/>
      <c r="AF361" s="459"/>
      <c r="AG361" s="459"/>
      <c r="AH361" s="459"/>
      <c r="AI361" s="459"/>
      <c r="AJ361" s="459"/>
      <c r="AK361" s="459"/>
      <c r="AL361" s="459"/>
      <c r="AM361" s="459"/>
      <c r="AN361" s="459"/>
      <c r="AO361" s="459"/>
      <c r="AP361" s="459"/>
      <c r="AQ361" s="459"/>
      <c r="AR361" s="459"/>
      <c r="AS361" s="459"/>
      <c r="AT361" s="459"/>
      <c r="AU361" s="459"/>
      <c r="AV361" s="459"/>
      <c r="AW361" s="459"/>
      <c r="AX361" s="459"/>
      <c r="AY361" s="459"/>
      <c r="AZ361" s="459"/>
      <c r="BA361" s="459"/>
      <c r="BB361" s="459"/>
      <c r="BC361" s="459"/>
      <c r="BD361" s="459"/>
      <c r="BE361" s="459"/>
      <c r="BF361" s="459"/>
      <c r="BG361" s="459"/>
      <c r="BH361" s="459"/>
      <c r="BI361" s="459"/>
      <c r="BJ361" s="459"/>
      <c r="BK361" s="459"/>
      <c r="BL361" s="459"/>
      <c r="BM361" s="459"/>
      <c r="BN361" s="459"/>
      <c r="BO361" s="459"/>
      <c r="BP361" s="459"/>
      <c r="BQ361" s="459"/>
      <c r="BR361" s="459"/>
      <c r="BS361" s="459"/>
      <c r="BT361" s="459"/>
      <c r="BU361" s="459"/>
      <c r="BV361" s="459"/>
      <c r="BW361" s="459"/>
      <c r="BX361" s="459"/>
      <c r="BY361" s="459"/>
      <c r="BZ361" s="459"/>
      <c r="CA361" s="459"/>
      <c r="CB361" s="459"/>
      <c r="CC361" s="459"/>
    </row>
    <row r="362" spans="1:81" s="467" customFormat="1" x14ac:dyDescent="0.2">
      <c r="A362" s="472"/>
      <c r="C362" s="473"/>
      <c r="G362" s="474"/>
      <c r="H362" s="473"/>
      <c r="P362" s="459"/>
      <c r="Q362" s="459"/>
      <c r="R362" s="459"/>
      <c r="S362" s="459"/>
      <c r="T362" s="459"/>
      <c r="U362" s="459"/>
      <c r="V362" s="459"/>
      <c r="W362" s="459"/>
      <c r="X362" s="459"/>
      <c r="Y362" s="459"/>
      <c r="Z362" s="459"/>
      <c r="AA362" s="459"/>
      <c r="AB362" s="459"/>
      <c r="AC362" s="459"/>
      <c r="AD362" s="459"/>
      <c r="AE362" s="459"/>
      <c r="AF362" s="459"/>
      <c r="AG362" s="459"/>
      <c r="AH362" s="459"/>
      <c r="AI362" s="459"/>
      <c r="AJ362" s="459"/>
      <c r="AK362" s="459"/>
      <c r="AL362" s="459"/>
      <c r="AM362" s="459"/>
      <c r="AN362" s="459"/>
      <c r="AO362" s="459"/>
      <c r="AP362" s="459"/>
      <c r="AQ362" s="459"/>
      <c r="AR362" s="459"/>
      <c r="AS362" s="459"/>
      <c r="AT362" s="459"/>
      <c r="AU362" s="459"/>
      <c r="AV362" s="459"/>
      <c r="AW362" s="459"/>
      <c r="AX362" s="459"/>
      <c r="AY362" s="459"/>
      <c r="AZ362" s="459"/>
      <c r="BA362" s="459"/>
      <c r="BB362" s="459"/>
      <c r="BC362" s="459"/>
      <c r="BD362" s="459"/>
      <c r="BE362" s="459"/>
      <c r="BF362" s="459"/>
      <c r="BG362" s="459"/>
      <c r="BH362" s="459"/>
      <c r="BI362" s="459"/>
      <c r="BJ362" s="459"/>
      <c r="BK362" s="459"/>
      <c r="BL362" s="459"/>
      <c r="BM362" s="459"/>
      <c r="BN362" s="459"/>
      <c r="BO362" s="459"/>
      <c r="BP362" s="459"/>
      <c r="BQ362" s="459"/>
      <c r="BR362" s="459"/>
      <c r="BS362" s="459"/>
      <c r="BT362" s="459"/>
      <c r="BU362" s="459"/>
      <c r="BV362" s="459"/>
      <c r="BW362" s="459"/>
      <c r="BX362" s="459"/>
      <c r="BY362" s="459"/>
      <c r="BZ362" s="459"/>
      <c r="CA362" s="459"/>
      <c r="CB362" s="459"/>
      <c r="CC362" s="459"/>
    </row>
    <row r="363" spans="1:81" s="467" customFormat="1" x14ac:dyDescent="0.2">
      <c r="A363" s="472"/>
      <c r="C363" s="473"/>
      <c r="G363" s="474"/>
      <c r="H363" s="473"/>
      <c r="P363" s="459"/>
      <c r="Q363" s="459"/>
      <c r="R363" s="459"/>
      <c r="S363" s="459"/>
      <c r="T363" s="459"/>
      <c r="U363" s="459"/>
      <c r="V363" s="459"/>
      <c r="W363" s="459"/>
      <c r="X363" s="459"/>
      <c r="Y363" s="459"/>
      <c r="Z363" s="459"/>
      <c r="AA363" s="459"/>
      <c r="AB363" s="459"/>
      <c r="AC363" s="459"/>
      <c r="AD363" s="459"/>
      <c r="AE363" s="459"/>
      <c r="AF363" s="459"/>
      <c r="AG363" s="459"/>
      <c r="AH363" s="459"/>
      <c r="AI363" s="459"/>
      <c r="AJ363" s="459"/>
      <c r="AK363" s="459"/>
      <c r="AL363" s="459"/>
      <c r="AM363" s="459"/>
      <c r="AN363" s="459"/>
      <c r="AO363" s="459"/>
      <c r="AP363" s="459"/>
      <c r="AQ363" s="459"/>
      <c r="AR363" s="459"/>
      <c r="AS363" s="459"/>
      <c r="AT363" s="459"/>
      <c r="AU363" s="459"/>
      <c r="AV363" s="459"/>
      <c r="AW363" s="459"/>
      <c r="AX363" s="459"/>
      <c r="AY363" s="459"/>
      <c r="AZ363" s="459"/>
      <c r="BA363" s="459"/>
      <c r="BB363" s="459"/>
      <c r="BC363" s="459"/>
      <c r="BD363" s="459"/>
      <c r="BE363" s="459"/>
      <c r="BF363" s="459"/>
      <c r="BG363" s="459"/>
      <c r="BH363" s="459"/>
      <c r="BI363" s="459"/>
      <c r="BJ363" s="459"/>
      <c r="BK363" s="459"/>
      <c r="BL363" s="459"/>
      <c r="BM363" s="459"/>
      <c r="BN363" s="459"/>
      <c r="BO363" s="459"/>
      <c r="BP363" s="459"/>
      <c r="BQ363" s="459"/>
      <c r="BR363" s="459"/>
      <c r="BS363" s="459"/>
      <c r="BT363" s="459"/>
      <c r="BU363" s="459"/>
      <c r="BV363" s="459"/>
      <c r="BW363" s="459"/>
      <c r="BX363" s="459"/>
      <c r="BY363" s="459"/>
      <c r="BZ363" s="459"/>
      <c r="CA363" s="459"/>
      <c r="CB363" s="459"/>
      <c r="CC363" s="459"/>
    </row>
    <row r="364" spans="1:81" s="467" customFormat="1" x14ac:dyDescent="0.2">
      <c r="A364" s="472"/>
      <c r="C364" s="473"/>
      <c r="G364" s="474"/>
      <c r="H364" s="473"/>
      <c r="P364" s="459"/>
      <c r="Q364" s="459"/>
      <c r="R364" s="459"/>
      <c r="S364" s="459"/>
      <c r="T364" s="459"/>
      <c r="U364" s="459"/>
      <c r="V364" s="459"/>
      <c r="W364" s="459"/>
      <c r="X364" s="459"/>
      <c r="Y364" s="459"/>
      <c r="Z364" s="459"/>
      <c r="AA364" s="459"/>
      <c r="AB364" s="459"/>
      <c r="AC364" s="459"/>
      <c r="AD364" s="459"/>
      <c r="AE364" s="459"/>
      <c r="AF364" s="459"/>
      <c r="AG364" s="459"/>
      <c r="AH364" s="459"/>
      <c r="AI364" s="459"/>
      <c r="AJ364" s="459"/>
      <c r="AK364" s="459"/>
      <c r="AL364" s="459"/>
      <c r="AM364" s="459"/>
      <c r="AN364" s="459"/>
      <c r="AO364" s="459"/>
      <c r="AP364" s="459"/>
      <c r="AQ364" s="459"/>
      <c r="AR364" s="459"/>
      <c r="AS364" s="459"/>
      <c r="AT364" s="459"/>
      <c r="AU364" s="459"/>
      <c r="AV364" s="459"/>
      <c r="AW364" s="459"/>
      <c r="AX364" s="459"/>
      <c r="AY364" s="459"/>
      <c r="AZ364" s="459"/>
      <c r="BA364" s="459"/>
      <c r="BB364" s="459"/>
      <c r="BC364" s="459"/>
      <c r="BD364" s="459"/>
      <c r="BE364" s="459"/>
      <c r="BF364" s="459"/>
      <c r="BG364" s="459"/>
      <c r="BH364" s="459"/>
      <c r="BI364" s="459"/>
      <c r="BJ364" s="459"/>
      <c r="BK364" s="459"/>
      <c r="BL364" s="459"/>
      <c r="BM364" s="459"/>
      <c r="BN364" s="459"/>
      <c r="BO364" s="459"/>
      <c r="BP364" s="459"/>
      <c r="BQ364" s="459"/>
      <c r="BR364" s="459"/>
      <c r="BS364" s="459"/>
      <c r="BT364" s="459"/>
      <c r="BU364" s="459"/>
      <c r="BV364" s="459"/>
      <c r="BW364" s="459"/>
      <c r="BX364" s="459"/>
      <c r="BY364" s="459"/>
      <c r="BZ364" s="459"/>
      <c r="CA364" s="459"/>
      <c r="CB364" s="459"/>
      <c r="CC364" s="459"/>
    </row>
    <row r="365" spans="1:81" s="467" customFormat="1" x14ac:dyDescent="0.2">
      <c r="A365" s="472"/>
      <c r="C365" s="473"/>
      <c r="G365" s="474"/>
      <c r="H365" s="473"/>
      <c r="P365" s="459"/>
      <c r="Q365" s="459"/>
      <c r="R365" s="459"/>
      <c r="S365" s="459"/>
      <c r="T365" s="459"/>
      <c r="U365" s="459"/>
      <c r="V365" s="459"/>
      <c r="W365" s="459"/>
      <c r="X365" s="459"/>
      <c r="Y365" s="459"/>
      <c r="Z365" s="459"/>
      <c r="AA365" s="459"/>
      <c r="AB365" s="459"/>
      <c r="AC365" s="459"/>
      <c r="AD365" s="459"/>
      <c r="AE365" s="459"/>
      <c r="AF365" s="459"/>
      <c r="AG365" s="459"/>
      <c r="AH365" s="459"/>
      <c r="AI365" s="459"/>
      <c r="AJ365" s="459"/>
      <c r="AK365" s="459"/>
      <c r="AL365" s="459"/>
      <c r="AM365" s="459"/>
      <c r="AN365" s="459"/>
      <c r="AO365" s="459"/>
      <c r="AP365" s="459"/>
      <c r="AQ365" s="459"/>
      <c r="AR365" s="459"/>
      <c r="AS365" s="459"/>
      <c r="AT365" s="459"/>
      <c r="AU365" s="459"/>
      <c r="AV365" s="459"/>
      <c r="AW365" s="459"/>
      <c r="AX365" s="459"/>
      <c r="AY365" s="459"/>
      <c r="AZ365" s="459"/>
      <c r="BA365" s="459"/>
      <c r="BB365" s="459"/>
      <c r="BC365" s="459"/>
      <c r="BD365" s="459"/>
      <c r="BE365" s="459"/>
      <c r="BF365" s="459"/>
      <c r="BG365" s="459"/>
      <c r="BH365" s="459"/>
      <c r="BI365" s="459"/>
      <c r="BJ365" s="459"/>
      <c r="BK365" s="459"/>
      <c r="BL365" s="459"/>
      <c r="BM365" s="459"/>
      <c r="BN365" s="459"/>
      <c r="BO365" s="459"/>
      <c r="BP365" s="459"/>
      <c r="BQ365" s="459"/>
      <c r="BR365" s="459"/>
      <c r="BS365" s="459"/>
      <c r="BT365" s="459"/>
      <c r="BU365" s="459"/>
      <c r="BV365" s="459"/>
      <c r="BW365" s="459"/>
      <c r="BX365" s="459"/>
      <c r="BY365" s="459"/>
      <c r="BZ365" s="459"/>
      <c r="CA365" s="459"/>
      <c r="CB365" s="459"/>
      <c r="CC365" s="459"/>
    </row>
    <row r="366" spans="1:81" s="467" customFormat="1" x14ac:dyDescent="0.2">
      <c r="A366" s="472"/>
      <c r="C366" s="473"/>
      <c r="G366" s="474"/>
      <c r="H366" s="473"/>
      <c r="P366" s="459"/>
      <c r="Q366" s="459"/>
      <c r="R366" s="459"/>
      <c r="S366" s="459"/>
      <c r="T366" s="459"/>
      <c r="U366" s="459"/>
      <c r="V366" s="459"/>
      <c r="W366" s="459"/>
      <c r="X366" s="459"/>
      <c r="Y366" s="459"/>
      <c r="Z366" s="459"/>
      <c r="AA366" s="459"/>
      <c r="AB366" s="459"/>
      <c r="AC366" s="459"/>
      <c r="AD366" s="459"/>
      <c r="AE366" s="459"/>
      <c r="AF366" s="459"/>
      <c r="AG366" s="459"/>
      <c r="AH366" s="459"/>
      <c r="AI366" s="459"/>
      <c r="AJ366" s="459"/>
      <c r="AK366" s="459"/>
      <c r="AL366" s="459"/>
      <c r="AM366" s="459"/>
      <c r="AN366" s="459"/>
      <c r="AO366" s="459"/>
      <c r="AP366" s="459"/>
      <c r="AQ366" s="459"/>
      <c r="AR366" s="459"/>
      <c r="AS366" s="459"/>
      <c r="AT366" s="459"/>
      <c r="AU366" s="459"/>
      <c r="AV366" s="459"/>
      <c r="AW366" s="459"/>
      <c r="AX366" s="459"/>
      <c r="AY366" s="459"/>
      <c r="AZ366" s="459"/>
      <c r="BA366" s="459"/>
      <c r="BB366" s="459"/>
      <c r="BC366" s="459"/>
      <c r="BD366" s="459"/>
      <c r="BE366" s="459"/>
      <c r="BF366" s="459"/>
      <c r="BG366" s="459"/>
      <c r="BH366" s="459"/>
      <c r="BI366" s="459"/>
      <c r="BJ366" s="459"/>
      <c r="BK366" s="459"/>
      <c r="BL366" s="459"/>
      <c r="BM366" s="459"/>
      <c r="BN366" s="459"/>
      <c r="BO366" s="459"/>
      <c r="BP366" s="459"/>
      <c r="BQ366" s="459"/>
      <c r="BR366" s="459"/>
      <c r="BS366" s="459"/>
      <c r="BT366" s="459"/>
      <c r="BU366" s="459"/>
      <c r="BV366" s="459"/>
      <c r="BW366" s="459"/>
      <c r="BX366" s="459"/>
      <c r="BY366" s="459"/>
      <c r="BZ366" s="459"/>
      <c r="CA366" s="459"/>
      <c r="CB366" s="459"/>
      <c r="CC366" s="459"/>
    </row>
    <row r="367" spans="1:81" s="467" customFormat="1" x14ac:dyDescent="0.2">
      <c r="A367" s="472"/>
      <c r="C367" s="473"/>
      <c r="G367" s="474"/>
      <c r="H367" s="473"/>
      <c r="P367" s="459"/>
      <c r="Q367" s="459"/>
      <c r="R367" s="459"/>
      <c r="S367" s="459"/>
      <c r="T367" s="459"/>
      <c r="U367" s="459"/>
      <c r="V367" s="459"/>
      <c r="W367" s="459"/>
      <c r="X367" s="459"/>
      <c r="Y367" s="459"/>
      <c r="Z367" s="459"/>
      <c r="AA367" s="459"/>
      <c r="AB367" s="459"/>
      <c r="AC367" s="459"/>
      <c r="AD367" s="459"/>
      <c r="AE367" s="459"/>
      <c r="AF367" s="459"/>
      <c r="AG367" s="459"/>
      <c r="AH367" s="459"/>
      <c r="AI367" s="459"/>
      <c r="AJ367" s="459"/>
      <c r="AK367" s="459"/>
      <c r="AL367" s="459"/>
      <c r="AM367" s="459"/>
      <c r="AN367" s="459"/>
      <c r="AO367" s="459"/>
      <c r="AP367" s="459"/>
      <c r="AQ367" s="459"/>
      <c r="AR367" s="459"/>
      <c r="AS367" s="459"/>
      <c r="AT367" s="459"/>
      <c r="AU367" s="459"/>
      <c r="AV367" s="459"/>
      <c r="AW367" s="459"/>
      <c r="AX367" s="459"/>
      <c r="AY367" s="459"/>
      <c r="AZ367" s="459"/>
      <c r="BA367" s="459"/>
      <c r="BB367" s="459"/>
      <c r="BC367" s="459"/>
      <c r="BD367" s="459"/>
      <c r="BE367" s="459"/>
      <c r="BF367" s="459"/>
      <c r="BG367" s="459"/>
      <c r="BH367" s="459"/>
      <c r="BI367" s="459"/>
      <c r="BJ367" s="459"/>
      <c r="BK367" s="459"/>
      <c r="BL367" s="459"/>
      <c r="BM367" s="459"/>
      <c r="BN367" s="459"/>
      <c r="BO367" s="459"/>
      <c r="BP367" s="459"/>
      <c r="BQ367" s="459"/>
      <c r="BR367" s="459"/>
      <c r="BS367" s="459"/>
      <c r="BT367" s="459"/>
      <c r="BU367" s="459"/>
      <c r="BV367" s="459"/>
      <c r="BW367" s="459"/>
      <c r="BX367" s="459"/>
      <c r="BY367" s="459"/>
      <c r="BZ367" s="459"/>
      <c r="CA367" s="459"/>
      <c r="CB367" s="459"/>
      <c r="CC367" s="459"/>
    </row>
    <row r="368" spans="1:81" s="467" customFormat="1" x14ac:dyDescent="0.2">
      <c r="A368" s="472"/>
      <c r="C368" s="473"/>
      <c r="G368" s="474"/>
      <c r="H368" s="473"/>
      <c r="P368" s="459"/>
      <c r="Q368" s="459"/>
      <c r="R368" s="459"/>
      <c r="S368" s="459"/>
      <c r="T368" s="459"/>
      <c r="U368" s="459"/>
      <c r="V368" s="459"/>
      <c r="W368" s="459"/>
      <c r="X368" s="459"/>
      <c r="Y368" s="459"/>
      <c r="Z368" s="459"/>
      <c r="AA368" s="459"/>
      <c r="AB368" s="459"/>
      <c r="AC368" s="459"/>
      <c r="AD368" s="459"/>
      <c r="AE368" s="459"/>
      <c r="AF368" s="459"/>
      <c r="AG368" s="459"/>
      <c r="AH368" s="459"/>
      <c r="AI368" s="459"/>
      <c r="AJ368" s="459"/>
      <c r="AK368" s="459"/>
      <c r="AL368" s="459"/>
      <c r="AM368" s="459"/>
      <c r="AN368" s="459"/>
      <c r="AO368" s="459"/>
      <c r="AP368" s="459"/>
      <c r="AQ368" s="459"/>
      <c r="AR368" s="459"/>
      <c r="AS368" s="459"/>
      <c r="AT368" s="459"/>
      <c r="AU368" s="459"/>
      <c r="AV368" s="459"/>
      <c r="AW368" s="459"/>
      <c r="AX368" s="459"/>
      <c r="AY368" s="459"/>
      <c r="AZ368" s="459"/>
      <c r="BA368" s="459"/>
      <c r="BB368" s="459"/>
      <c r="BC368" s="459"/>
      <c r="BD368" s="459"/>
      <c r="BE368" s="459"/>
      <c r="BF368" s="459"/>
      <c r="BG368" s="459"/>
      <c r="BH368" s="459"/>
      <c r="BI368" s="459"/>
      <c r="BJ368" s="459"/>
      <c r="BK368" s="459"/>
      <c r="BL368" s="459"/>
      <c r="BM368" s="459"/>
      <c r="BN368" s="459"/>
      <c r="BO368" s="459"/>
      <c r="BP368" s="459"/>
      <c r="BQ368" s="459"/>
      <c r="BR368" s="459"/>
      <c r="BS368" s="459"/>
      <c r="BT368" s="459"/>
      <c r="BU368" s="459"/>
      <c r="BV368" s="459"/>
      <c r="BW368" s="459"/>
      <c r="BX368" s="459"/>
      <c r="BY368" s="459"/>
      <c r="BZ368" s="459"/>
      <c r="CA368" s="459"/>
      <c r="CB368" s="459"/>
      <c r="CC368" s="459"/>
    </row>
    <row r="369" spans="1:81" s="467" customFormat="1" x14ac:dyDescent="0.2">
      <c r="A369" s="472"/>
      <c r="C369" s="473"/>
      <c r="G369" s="474"/>
      <c r="H369" s="473"/>
      <c r="P369" s="459"/>
      <c r="Q369" s="459"/>
      <c r="R369" s="459"/>
      <c r="S369" s="459"/>
      <c r="T369" s="459"/>
      <c r="U369" s="459"/>
      <c r="V369" s="459"/>
      <c r="W369" s="459"/>
      <c r="X369" s="459"/>
      <c r="Y369" s="459"/>
      <c r="Z369" s="459"/>
      <c r="AA369" s="459"/>
      <c r="AB369" s="459"/>
      <c r="AC369" s="459"/>
      <c r="AD369" s="459"/>
      <c r="AE369" s="459"/>
      <c r="AF369" s="459"/>
      <c r="AG369" s="459"/>
      <c r="AH369" s="459"/>
      <c r="AI369" s="459"/>
      <c r="AJ369" s="459"/>
      <c r="AK369" s="459"/>
      <c r="AL369" s="459"/>
      <c r="AM369" s="459"/>
      <c r="AN369" s="459"/>
      <c r="AO369" s="459"/>
      <c r="AP369" s="459"/>
      <c r="AQ369" s="459"/>
      <c r="AR369" s="459"/>
      <c r="AS369" s="459"/>
      <c r="AT369" s="459"/>
      <c r="AU369" s="459"/>
      <c r="AV369" s="459"/>
      <c r="AW369" s="459"/>
      <c r="AX369" s="459"/>
      <c r="AY369" s="459"/>
      <c r="AZ369" s="459"/>
      <c r="BA369" s="459"/>
      <c r="BB369" s="459"/>
      <c r="BC369" s="459"/>
      <c r="BD369" s="459"/>
      <c r="BE369" s="459"/>
      <c r="BF369" s="459"/>
      <c r="BG369" s="459"/>
      <c r="BH369" s="459"/>
      <c r="BI369" s="459"/>
      <c r="BJ369" s="459"/>
      <c r="BK369" s="459"/>
      <c r="BL369" s="459"/>
      <c r="BM369" s="459"/>
      <c r="BN369" s="459"/>
      <c r="BO369" s="459"/>
      <c r="BP369" s="459"/>
      <c r="BQ369" s="459"/>
      <c r="BR369" s="459"/>
      <c r="BS369" s="459"/>
      <c r="BT369" s="459"/>
      <c r="BU369" s="459"/>
      <c r="BV369" s="459"/>
      <c r="BW369" s="459"/>
      <c r="BX369" s="459"/>
      <c r="BY369" s="459"/>
      <c r="BZ369" s="459"/>
      <c r="CA369" s="459"/>
      <c r="CB369" s="459"/>
      <c r="CC369" s="459"/>
    </row>
    <row r="370" spans="1:81" s="467" customFormat="1" x14ac:dyDescent="0.2">
      <c r="A370" s="472"/>
      <c r="C370" s="473"/>
      <c r="G370" s="474"/>
      <c r="H370" s="473"/>
      <c r="P370" s="459"/>
      <c r="Q370" s="459"/>
      <c r="R370" s="459"/>
      <c r="S370" s="459"/>
      <c r="T370" s="459"/>
      <c r="U370" s="459"/>
      <c r="V370" s="459"/>
      <c r="W370" s="459"/>
      <c r="X370" s="459"/>
      <c r="Y370" s="459"/>
      <c r="Z370" s="459"/>
      <c r="AA370" s="459"/>
      <c r="AB370" s="459"/>
      <c r="AC370" s="459"/>
      <c r="AD370" s="459"/>
      <c r="AE370" s="459"/>
      <c r="AF370" s="459"/>
      <c r="AG370" s="459"/>
      <c r="AH370" s="459"/>
      <c r="AI370" s="459"/>
      <c r="AJ370" s="459"/>
      <c r="AK370" s="459"/>
      <c r="AL370" s="459"/>
      <c r="AM370" s="459"/>
      <c r="AN370" s="459"/>
      <c r="AO370" s="459"/>
      <c r="AP370" s="459"/>
      <c r="AQ370" s="459"/>
      <c r="AR370" s="459"/>
      <c r="AS370" s="459"/>
      <c r="AT370" s="459"/>
      <c r="AU370" s="459"/>
      <c r="AV370" s="459"/>
      <c r="AW370" s="459"/>
      <c r="AX370" s="459"/>
      <c r="AY370" s="459"/>
      <c r="AZ370" s="459"/>
      <c r="BA370" s="459"/>
      <c r="BB370" s="459"/>
      <c r="BC370" s="459"/>
      <c r="BD370" s="459"/>
      <c r="BE370" s="459"/>
      <c r="BF370" s="459"/>
      <c r="BG370" s="459"/>
      <c r="BH370" s="459"/>
      <c r="BI370" s="459"/>
      <c r="BJ370" s="459"/>
      <c r="BK370" s="459"/>
      <c r="BL370" s="459"/>
      <c r="BM370" s="459"/>
      <c r="BN370" s="459"/>
      <c r="BO370" s="459"/>
      <c r="BP370" s="459"/>
      <c r="BQ370" s="459"/>
      <c r="BR370" s="459"/>
      <c r="BS370" s="459"/>
      <c r="BT370" s="459"/>
      <c r="BU370" s="459"/>
      <c r="BV370" s="459"/>
      <c r="BW370" s="459"/>
      <c r="BX370" s="459"/>
      <c r="BY370" s="459"/>
      <c r="BZ370" s="459"/>
      <c r="CA370" s="459"/>
      <c r="CB370" s="459"/>
      <c r="CC370" s="459"/>
    </row>
    <row r="371" spans="1:81" s="467" customFormat="1" x14ac:dyDescent="0.2">
      <c r="A371" s="472"/>
      <c r="C371" s="473"/>
      <c r="G371" s="474"/>
      <c r="H371" s="473"/>
      <c r="P371" s="459"/>
      <c r="Q371" s="459"/>
      <c r="R371" s="459"/>
      <c r="S371" s="459"/>
      <c r="T371" s="459"/>
      <c r="U371" s="459"/>
      <c r="V371" s="459"/>
      <c r="W371" s="459"/>
      <c r="X371" s="459"/>
      <c r="Y371" s="459"/>
      <c r="Z371" s="459"/>
      <c r="AA371" s="459"/>
      <c r="AB371" s="459"/>
      <c r="AC371" s="459"/>
      <c r="AD371" s="459"/>
      <c r="AE371" s="459"/>
      <c r="AF371" s="459"/>
      <c r="AG371" s="459"/>
      <c r="AH371" s="459"/>
      <c r="AI371" s="459"/>
      <c r="AJ371" s="459"/>
      <c r="AK371" s="459"/>
      <c r="AL371" s="459"/>
      <c r="AM371" s="459"/>
      <c r="AN371" s="459"/>
      <c r="AO371" s="459"/>
      <c r="AP371" s="459"/>
      <c r="AQ371" s="459"/>
      <c r="AR371" s="459"/>
      <c r="AS371" s="459"/>
      <c r="AT371" s="459"/>
      <c r="AU371" s="459"/>
      <c r="AV371" s="459"/>
      <c r="AW371" s="459"/>
      <c r="AX371" s="459"/>
      <c r="AY371" s="459"/>
      <c r="AZ371" s="459"/>
      <c r="BA371" s="459"/>
      <c r="BB371" s="459"/>
      <c r="BC371" s="459"/>
      <c r="BD371" s="459"/>
      <c r="BE371" s="459"/>
      <c r="BF371" s="459"/>
      <c r="BG371" s="459"/>
      <c r="BH371" s="459"/>
      <c r="BI371" s="459"/>
      <c r="BJ371" s="459"/>
      <c r="BK371" s="459"/>
      <c r="BL371" s="459"/>
      <c r="BM371" s="459"/>
      <c r="BN371" s="459"/>
      <c r="BO371" s="459"/>
      <c r="BP371" s="459"/>
      <c r="BQ371" s="459"/>
      <c r="BR371" s="459"/>
      <c r="BS371" s="459"/>
      <c r="BT371" s="459"/>
      <c r="BU371" s="459"/>
      <c r="BV371" s="459"/>
      <c r="BW371" s="459"/>
      <c r="BX371" s="459"/>
      <c r="BY371" s="459"/>
      <c r="BZ371" s="459"/>
      <c r="CA371" s="459"/>
      <c r="CB371" s="459"/>
      <c r="CC371" s="459"/>
    </row>
    <row r="372" spans="1:81" s="467" customFormat="1" x14ac:dyDescent="0.2">
      <c r="A372" s="472"/>
      <c r="C372" s="473"/>
      <c r="G372" s="474"/>
      <c r="H372" s="473"/>
      <c r="P372" s="459"/>
      <c r="Q372" s="459"/>
      <c r="R372" s="459"/>
      <c r="S372" s="459"/>
      <c r="T372" s="459"/>
      <c r="U372" s="459"/>
      <c r="V372" s="459"/>
      <c r="W372" s="459"/>
      <c r="X372" s="459"/>
      <c r="Y372" s="459"/>
      <c r="Z372" s="459"/>
      <c r="AA372" s="459"/>
      <c r="AB372" s="459"/>
      <c r="AC372" s="459"/>
      <c r="AD372" s="459"/>
      <c r="AE372" s="459"/>
      <c r="AF372" s="459"/>
      <c r="AG372" s="459"/>
      <c r="AH372" s="459"/>
      <c r="AI372" s="459"/>
      <c r="AJ372" s="459"/>
      <c r="AK372" s="459"/>
      <c r="AL372" s="459"/>
      <c r="AM372" s="459"/>
      <c r="AN372" s="459"/>
      <c r="AO372" s="459"/>
      <c r="AP372" s="459"/>
      <c r="AQ372" s="459"/>
      <c r="AR372" s="459"/>
      <c r="AS372" s="459"/>
      <c r="AT372" s="459"/>
      <c r="AU372" s="459"/>
      <c r="AV372" s="459"/>
      <c r="AW372" s="459"/>
      <c r="AX372" s="459"/>
      <c r="AY372" s="459"/>
      <c r="AZ372" s="459"/>
      <c r="BA372" s="459"/>
      <c r="BB372" s="459"/>
      <c r="BC372" s="459"/>
      <c r="BD372" s="459"/>
      <c r="BE372" s="459"/>
      <c r="BF372" s="459"/>
      <c r="BG372" s="459"/>
      <c r="BH372" s="459"/>
      <c r="BI372" s="459"/>
      <c r="BJ372" s="459"/>
      <c r="BK372" s="459"/>
      <c r="BL372" s="459"/>
      <c r="BM372" s="459"/>
      <c r="BN372" s="459"/>
      <c r="BO372" s="459"/>
      <c r="BP372" s="459"/>
      <c r="BQ372" s="459"/>
      <c r="BR372" s="459"/>
      <c r="BS372" s="459"/>
      <c r="BT372" s="459"/>
      <c r="BU372" s="459"/>
      <c r="BV372" s="459"/>
      <c r="BW372" s="459"/>
      <c r="BX372" s="459"/>
      <c r="BY372" s="459"/>
      <c r="BZ372" s="459"/>
      <c r="CA372" s="459"/>
      <c r="CB372" s="459"/>
      <c r="CC372" s="459"/>
    </row>
    <row r="373" spans="1:81" s="467" customFormat="1" x14ac:dyDescent="0.2">
      <c r="A373" s="472"/>
      <c r="C373" s="473"/>
      <c r="G373" s="474"/>
      <c r="H373" s="473"/>
      <c r="P373" s="459"/>
      <c r="Q373" s="459"/>
      <c r="R373" s="459"/>
      <c r="S373" s="459"/>
      <c r="T373" s="459"/>
      <c r="U373" s="459"/>
      <c r="V373" s="459"/>
      <c r="W373" s="459"/>
      <c r="X373" s="459"/>
      <c r="Y373" s="459"/>
      <c r="Z373" s="459"/>
      <c r="AA373" s="459"/>
      <c r="AB373" s="459"/>
      <c r="AC373" s="459"/>
      <c r="AD373" s="459"/>
      <c r="AE373" s="459"/>
      <c r="AF373" s="459"/>
      <c r="AG373" s="459"/>
      <c r="AH373" s="459"/>
      <c r="AI373" s="459"/>
      <c r="AJ373" s="459"/>
      <c r="AK373" s="459"/>
      <c r="AL373" s="459"/>
      <c r="AM373" s="459"/>
      <c r="AN373" s="459"/>
      <c r="AO373" s="459"/>
      <c r="AP373" s="459"/>
      <c r="AQ373" s="459"/>
      <c r="AR373" s="459"/>
      <c r="AS373" s="459"/>
      <c r="AT373" s="459"/>
      <c r="AU373" s="459"/>
      <c r="AV373" s="459"/>
      <c r="AW373" s="459"/>
      <c r="AX373" s="459"/>
      <c r="AY373" s="459"/>
      <c r="AZ373" s="459"/>
      <c r="BA373" s="459"/>
      <c r="BB373" s="459"/>
      <c r="BC373" s="459"/>
      <c r="BD373" s="459"/>
      <c r="BE373" s="459"/>
      <c r="BF373" s="459"/>
      <c r="BG373" s="459"/>
      <c r="BH373" s="459"/>
      <c r="BI373" s="459"/>
      <c r="BJ373" s="459"/>
      <c r="BK373" s="459"/>
      <c r="BL373" s="459"/>
      <c r="BM373" s="459"/>
      <c r="BN373" s="459"/>
      <c r="BO373" s="459"/>
      <c r="BP373" s="459"/>
      <c r="BQ373" s="459"/>
      <c r="BR373" s="459"/>
      <c r="BS373" s="459"/>
      <c r="BT373" s="459"/>
      <c r="BU373" s="459"/>
      <c r="BV373" s="459"/>
      <c r="BW373" s="459"/>
      <c r="BX373" s="459"/>
      <c r="BY373" s="459"/>
      <c r="BZ373" s="459"/>
      <c r="CA373" s="459"/>
      <c r="CB373" s="459"/>
      <c r="CC373" s="459"/>
    </row>
    <row r="374" spans="1:81" s="467" customFormat="1" x14ac:dyDescent="0.2">
      <c r="A374" s="472"/>
      <c r="C374" s="473"/>
      <c r="G374" s="474"/>
      <c r="H374" s="473"/>
      <c r="P374" s="459"/>
      <c r="Q374" s="459"/>
      <c r="R374" s="459"/>
      <c r="S374" s="459"/>
      <c r="T374" s="459"/>
      <c r="U374" s="459"/>
      <c r="V374" s="459"/>
      <c r="W374" s="459"/>
      <c r="X374" s="459"/>
      <c r="Y374" s="459"/>
      <c r="Z374" s="459"/>
      <c r="AA374" s="459"/>
      <c r="AB374" s="459"/>
      <c r="AC374" s="459"/>
      <c r="AD374" s="459"/>
      <c r="AE374" s="459"/>
      <c r="AF374" s="459"/>
      <c r="AG374" s="459"/>
      <c r="AH374" s="459"/>
      <c r="AI374" s="459"/>
      <c r="AJ374" s="459"/>
      <c r="AK374" s="459"/>
      <c r="AL374" s="459"/>
      <c r="AM374" s="459"/>
      <c r="AN374" s="459"/>
      <c r="AO374" s="459"/>
      <c r="AP374" s="459"/>
      <c r="AQ374" s="459"/>
      <c r="AR374" s="459"/>
      <c r="AS374" s="459"/>
      <c r="AT374" s="459"/>
      <c r="AU374" s="459"/>
      <c r="AV374" s="459"/>
      <c r="AW374" s="459"/>
      <c r="AX374" s="459"/>
      <c r="AY374" s="459"/>
      <c r="AZ374" s="459"/>
      <c r="BA374" s="459"/>
      <c r="BB374" s="459"/>
      <c r="BC374" s="459"/>
      <c r="BD374" s="459"/>
      <c r="BE374" s="459"/>
      <c r="BF374" s="459"/>
      <c r="BG374" s="459"/>
      <c r="BH374" s="459"/>
      <c r="BI374" s="459"/>
      <c r="BJ374" s="459"/>
      <c r="BK374" s="459"/>
      <c r="BL374" s="459"/>
      <c r="BM374" s="459"/>
      <c r="BN374" s="459"/>
      <c r="BO374" s="459"/>
      <c r="BP374" s="459"/>
      <c r="BQ374" s="459"/>
      <c r="BR374" s="459"/>
      <c r="BS374" s="459"/>
      <c r="BT374" s="459"/>
      <c r="BU374" s="459"/>
      <c r="BV374" s="459"/>
      <c r="BW374" s="459"/>
      <c r="BX374" s="459"/>
      <c r="BY374" s="459"/>
      <c r="BZ374" s="459"/>
      <c r="CA374" s="459"/>
      <c r="CB374" s="459"/>
      <c r="CC374" s="459"/>
    </row>
    <row r="375" spans="1:81" s="467" customFormat="1" x14ac:dyDescent="0.2">
      <c r="A375" s="472"/>
      <c r="C375" s="473"/>
      <c r="G375" s="474"/>
      <c r="H375" s="473"/>
      <c r="P375" s="459"/>
      <c r="Q375" s="459"/>
      <c r="R375" s="459"/>
      <c r="S375" s="459"/>
      <c r="T375" s="459"/>
      <c r="U375" s="459"/>
      <c r="V375" s="459"/>
      <c r="W375" s="459"/>
      <c r="X375" s="459"/>
      <c r="Y375" s="459"/>
      <c r="Z375" s="459"/>
      <c r="AA375" s="459"/>
      <c r="AB375" s="459"/>
      <c r="AC375" s="459"/>
      <c r="AD375" s="459"/>
      <c r="AE375" s="459"/>
      <c r="AF375" s="459"/>
      <c r="AG375" s="459"/>
      <c r="AH375" s="459"/>
      <c r="AI375" s="459"/>
      <c r="AJ375" s="459"/>
      <c r="AK375" s="459"/>
      <c r="AL375" s="459"/>
      <c r="AM375" s="459"/>
      <c r="AN375" s="459"/>
      <c r="AO375" s="459"/>
      <c r="AP375" s="459"/>
      <c r="AQ375" s="459"/>
      <c r="AR375" s="459"/>
      <c r="AS375" s="459"/>
      <c r="AT375" s="459"/>
      <c r="AU375" s="459"/>
      <c r="AV375" s="459"/>
      <c r="AW375" s="459"/>
      <c r="AX375" s="459"/>
      <c r="AY375" s="459"/>
      <c r="AZ375" s="459"/>
      <c r="BA375" s="459"/>
      <c r="BB375" s="459"/>
      <c r="BC375" s="459"/>
      <c r="BD375" s="459"/>
      <c r="BE375" s="459"/>
      <c r="BF375" s="459"/>
      <c r="BG375" s="459"/>
      <c r="BH375" s="459"/>
      <c r="BI375" s="459"/>
      <c r="BJ375" s="459"/>
      <c r="BK375" s="459"/>
      <c r="BL375" s="459"/>
      <c r="BM375" s="459"/>
      <c r="BN375" s="459"/>
      <c r="BO375" s="459"/>
      <c r="BP375" s="459"/>
      <c r="BQ375" s="459"/>
      <c r="BR375" s="459"/>
      <c r="BS375" s="459"/>
      <c r="BT375" s="459"/>
      <c r="BU375" s="459"/>
      <c r="BV375" s="459"/>
      <c r="BW375" s="459"/>
      <c r="BX375" s="459"/>
      <c r="BY375" s="459"/>
      <c r="BZ375" s="459"/>
      <c r="CA375" s="459"/>
      <c r="CB375" s="459"/>
      <c r="CC375" s="459"/>
    </row>
    <row r="376" spans="1:81" s="467" customFormat="1" x14ac:dyDescent="0.2">
      <c r="A376" s="472"/>
      <c r="C376" s="473"/>
      <c r="G376" s="474"/>
      <c r="H376" s="473"/>
      <c r="P376" s="459"/>
      <c r="Q376" s="459"/>
      <c r="R376" s="459"/>
      <c r="S376" s="459"/>
      <c r="T376" s="459"/>
      <c r="U376" s="459"/>
      <c r="V376" s="459"/>
      <c r="W376" s="459"/>
      <c r="X376" s="459"/>
      <c r="Y376" s="459"/>
      <c r="Z376" s="459"/>
      <c r="AA376" s="459"/>
      <c r="AB376" s="459"/>
      <c r="AC376" s="459"/>
      <c r="AD376" s="459"/>
      <c r="AE376" s="459"/>
      <c r="AF376" s="459"/>
      <c r="AG376" s="459"/>
      <c r="AH376" s="459"/>
      <c r="AI376" s="459"/>
      <c r="AJ376" s="459"/>
      <c r="AK376" s="459"/>
      <c r="AL376" s="459"/>
      <c r="AM376" s="459"/>
      <c r="AN376" s="459"/>
      <c r="AO376" s="459"/>
      <c r="AP376" s="459"/>
      <c r="AQ376" s="459"/>
      <c r="AR376" s="459"/>
      <c r="AS376" s="459"/>
      <c r="AT376" s="459"/>
      <c r="AU376" s="459"/>
      <c r="AV376" s="459"/>
      <c r="AW376" s="459"/>
      <c r="AX376" s="459"/>
      <c r="AY376" s="459"/>
      <c r="AZ376" s="459"/>
      <c r="BA376" s="459"/>
      <c r="BB376" s="459"/>
      <c r="BC376" s="459"/>
      <c r="BD376" s="459"/>
      <c r="BE376" s="459"/>
      <c r="BF376" s="459"/>
      <c r="BG376" s="459"/>
      <c r="BH376" s="459"/>
      <c r="BI376" s="459"/>
      <c r="BJ376" s="459"/>
      <c r="BK376" s="459"/>
      <c r="BL376" s="459"/>
      <c r="BM376" s="459"/>
      <c r="BN376" s="459"/>
      <c r="BO376" s="459"/>
      <c r="BP376" s="459"/>
      <c r="BQ376" s="459"/>
      <c r="BR376" s="459"/>
      <c r="BS376" s="459"/>
      <c r="BT376" s="459"/>
      <c r="BU376" s="459"/>
      <c r="BV376" s="459"/>
      <c r="BW376" s="459"/>
      <c r="BX376" s="459"/>
      <c r="BY376" s="459"/>
      <c r="BZ376" s="459"/>
      <c r="CA376" s="459"/>
      <c r="CB376" s="459"/>
      <c r="CC376" s="459"/>
    </row>
    <row r="377" spans="1:81" s="467" customFormat="1" x14ac:dyDescent="0.2">
      <c r="A377" s="472"/>
      <c r="C377" s="473"/>
      <c r="G377" s="474"/>
      <c r="H377" s="473"/>
      <c r="P377" s="459"/>
      <c r="Q377" s="459"/>
      <c r="R377" s="459"/>
      <c r="S377" s="459"/>
      <c r="T377" s="459"/>
      <c r="U377" s="459"/>
      <c r="V377" s="459"/>
      <c r="W377" s="459"/>
      <c r="X377" s="459"/>
      <c r="Y377" s="459"/>
      <c r="Z377" s="459"/>
      <c r="AA377" s="459"/>
      <c r="AB377" s="459"/>
      <c r="AC377" s="459"/>
      <c r="AD377" s="459"/>
      <c r="AE377" s="459"/>
      <c r="AF377" s="459"/>
      <c r="AG377" s="459"/>
      <c r="AH377" s="459"/>
      <c r="AI377" s="459"/>
      <c r="AJ377" s="459"/>
      <c r="AK377" s="459"/>
      <c r="AL377" s="459"/>
      <c r="AM377" s="459"/>
      <c r="AN377" s="459"/>
      <c r="AO377" s="459"/>
      <c r="AP377" s="459"/>
      <c r="AQ377" s="459"/>
      <c r="AR377" s="459"/>
      <c r="AS377" s="459"/>
      <c r="AT377" s="459"/>
      <c r="AU377" s="459"/>
      <c r="AV377" s="459"/>
      <c r="AW377" s="459"/>
      <c r="AX377" s="459"/>
      <c r="AY377" s="459"/>
      <c r="AZ377" s="459"/>
      <c r="BA377" s="459"/>
      <c r="BB377" s="459"/>
      <c r="BC377" s="459"/>
      <c r="BD377" s="459"/>
      <c r="BE377" s="459"/>
      <c r="BF377" s="459"/>
      <c r="BG377" s="459"/>
      <c r="BH377" s="459"/>
      <c r="BI377" s="459"/>
      <c r="BJ377" s="459"/>
      <c r="BK377" s="459"/>
      <c r="BL377" s="459"/>
      <c r="BM377" s="459"/>
      <c r="BN377" s="459"/>
      <c r="BO377" s="459"/>
      <c r="BP377" s="459"/>
      <c r="BQ377" s="459"/>
      <c r="BR377" s="459"/>
      <c r="BS377" s="459"/>
      <c r="BT377" s="459"/>
      <c r="BU377" s="459"/>
      <c r="BV377" s="459"/>
      <c r="BW377" s="459"/>
      <c r="BX377" s="459"/>
      <c r="BY377" s="459"/>
      <c r="BZ377" s="459"/>
      <c r="CA377" s="459"/>
      <c r="CB377" s="459"/>
      <c r="CC377" s="459"/>
    </row>
    <row r="378" spans="1:81" s="467" customFormat="1" x14ac:dyDescent="0.2">
      <c r="A378" s="472"/>
      <c r="C378" s="473"/>
      <c r="G378" s="474"/>
      <c r="H378" s="473"/>
      <c r="P378" s="459"/>
      <c r="Q378" s="459"/>
      <c r="R378" s="459"/>
      <c r="S378" s="459"/>
      <c r="T378" s="459"/>
      <c r="U378" s="459"/>
      <c r="V378" s="459"/>
      <c r="W378" s="459"/>
      <c r="X378" s="459"/>
      <c r="Y378" s="459"/>
      <c r="Z378" s="459"/>
      <c r="AA378" s="459"/>
      <c r="AB378" s="459"/>
      <c r="AC378" s="459"/>
      <c r="AD378" s="459"/>
      <c r="AE378" s="459"/>
      <c r="AF378" s="459"/>
      <c r="AG378" s="459"/>
      <c r="AH378" s="459"/>
      <c r="AI378" s="459"/>
      <c r="AJ378" s="459"/>
      <c r="AK378" s="459"/>
      <c r="AL378" s="459"/>
      <c r="AM378" s="459"/>
      <c r="AN378" s="459"/>
      <c r="AO378" s="459"/>
      <c r="AP378" s="459"/>
      <c r="AQ378" s="459"/>
      <c r="AR378" s="459"/>
      <c r="AS378" s="459"/>
      <c r="AT378" s="459"/>
      <c r="AU378" s="459"/>
      <c r="AV378" s="459"/>
      <c r="AW378" s="459"/>
      <c r="AX378" s="459"/>
      <c r="AY378" s="459"/>
      <c r="AZ378" s="459"/>
      <c r="BA378" s="459"/>
      <c r="BB378" s="459"/>
      <c r="BC378" s="459"/>
      <c r="BD378" s="459"/>
      <c r="BE378" s="459"/>
      <c r="BF378" s="459"/>
      <c r="BG378" s="459"/>
      <c r="BH378" s="459"/>
      <c r="BI378" s="459"/>
      <c r="BJ378" s="459"/>
      <c r="BK378" s="459"/>
      <c r="BL378" s="459"/>
      <c r="BM378" s="459"/>
      <c r="BN378" s="459"/>
      <c r="BO378" s="459"/>
      <c r="BP378" s="459"/>
      <c r="BQ378" s="459"/>
      <c r="BR378" s="459"/>
      <c r="BS378" s="459"/>
      <c r="BT378" s="459"/>
      <c r="BU378" s="459"/>
      <c r="BV378" s="459"/>
      <c r="BW378" s="459"/>
      <c r="BX378" s="459"/>
      <c r="BY378" s="459"/>
      <c r="BZ378" s="459"/>
      <c r="CA378" s="459"/>
      <c r="CB378" s="459"/>
      <c r="CC378" s="459"/>
    </row>
    <row r="379" spans="1:81" s="467" customFormat="1" x14ac:dyDescent="0.2">
      <c r="A379" s="472"/>
      <c r="C379" s="473"/>
      <c r="G379" s="474"/>
      <c r="H379" s="473"/>
      <c r="P379" s="459"/>
      <c r="Q379" s="459"/>
      <c r="R379" s="459"/>
      <c r="S379" s="459"/>
      <c r="T379" s="459"/>
      <c r="U379" s="459"/>
      <c r="V379" s="459"/>
      <c r="W379" s="459"/>
      <c r="X379" s="459"/>
      <c r="Y379" s="459"/>
      <c r="Z379" s="459"/>
      <c r="AA379" s="459"/>
      <c r="AB379" s="459"/>
      <c r="AC379" s="459"/>
      <c r="AD379" s="459"/>
      <c r="AE379" s="459"/>
      <c r="AF379" s="459"/>
      <c r="AG379" s="459"/>
      <c r="AH379" s="459"/>
      <c r="AI379" s="459"/>
      <c r="AJ379" s="459"/>
      <c r="AK379" s="459"/>
      <c r="AL379" s="459"/>
      <c r="AM379" s="459"/>
      <c r="AN379" s="459"/>
      <c r="AO379" s="459"/>
      <c r="AP379" s="459"/>
      <c r="AQ379" s="459"/>
      <c r="AR379" s="459"/>
      <c r="AS379" s="459"/>
      <c r="AT379" s="459"/>
      <c r="AU379" s="459"/>
      <c r="AV379" s="459"/>
      <c r="AW379" s="459"/>
      <c r="AX379" s="459"/>
      <c r="AY379" s="459"/>
      <c r="AZ379" s="459"/>
      <c r="BA379" s="459"/>
      <c r="BB379" s="459"/>
      <c r="BC379" s="459"/>
      <c r="BD379" s="459"/>
      <c r="BE379" s="459"/>
      <c r="BF379" s="459"/>
      <c r="BG379" s="459"/>
      <c r="BH379" s="459"/>
      <c r="BI379" s="459"/>
      <c r="BJ379" s="459"/>
      <c r="BK379" s="459"/>
      <c r="BL379" s="459"/>
      <c r="BM379" s="459"/>
      <c r="BN379" s="459"/>
      <c r="BO379" s="459"/>
      <c r="BP379" s="459"/>
      <c r="BQ379" s="459"/>
      <c r="BR379" s="459"/>
      <c r="BS379" s="459"/>
      <c r="BT379" s="459"/>
      <c r="BU379" s="459"/>
      <c r="BV379" s="459"/>
      <c r="BW379" s="459"/>
      <c r="BX379" s="459"/>
      <c r="BY379" s="459"/>
      <c r="BZ379" s="459"/>
      <c r="CA379" s="459"/>
      <c r="CB379" s="459"/>
      <c r="CC379" s="459"/>
    </row>
    <row r="380" spans="1:81" s="467" customFormat="1" x14ac:dyDescent="0.2">
      <c r="A380" s="472"/>
      <c r="C380" s="473"/>
      <c r="G380" s="474"/>
      <c r="H380" s="473"/>
      <c r="P380" s="459"/>
      <c r="Q380" s="459"/>
      <c r="R380" s="459"/>
      <c r="S380" s="459"/>
      <c r="T380" s="459"/>
      <c r="U380" s="459"/>
      <c r="V380" s="459"/>
      <c r="W380" s="459"/>
      <c r="X380" s="459"/>
      <c r="Y380" s="459"/>
      <c r="Z380" s="459"/>
      <c r="AA380" s="459"/>
      <c r="AB380" s="459"/>
      <c r="AC380" s="459"/>
      <c r="AD380" s="459"/>
      <c r="AE380" s="459"/>
      <c r="AF380" s="459"/>
      <c r="AG380" s="459"/>
      <c r="AH380" s="459"/>
      <c r="AI380" s="459"/>
      <c r="AJ380" s="459"/>
      <c r="AK380" s="459"/>
      <c r="AL380" s="459"/>
      <c r="AM380" s="459"/>
      <c r="AN380" s="459"/>
      <c r="AO380" s="459"/>
      <c r="AP380" s="459"/>
      <c r="AQ380" s="459"/>
      <c r="AR380" s="459"/>
      <c r="AS380" s="459"/>
      <c r="AT380" s="459"/>
      <c r="AU380" s="459"/>
      <c r="AV380" s="459"/>
      <c r="AW380" s="459"/>
      <c r="AX380" s="459"/>
      <c r="AY380" s="459"/>
      <c r="AZ380" s="459"/>
      <c r="BA380" s="459"/>
      <c r="BB380" s="459"/>
      <c r="BC380" s="459"/>
      <c r="BD380" s="459"/>
      <c r="BE380" s="459"/>
      <c r="BF380" s="459"/>
      <c r="BG380" s="459"/>
      <c r="BH380" s="459"/>
      <c r="BI380" s="459"/>
      <c r="BJ380" s="459"/>
      <c r="BK380" s="459"/>
      <c r="BL380" s="459"/>
      <c r="BM380" s="459"/>
      <c r="BN380" s="459"/>
      <c r="BO380" s="459"/>
      <c r="BP380" s="459"/>
      <c r="BQ380" s="459"/>
      <c r="BR380" s="459"/>
      <c r="BS380" s="459"/>
      <c r="BT380" s="459"/>
      <c r="BU380" s="459"/>
      <c r="BV380" s="459"/>
      <c r="BW380" s="459"/>
      <c r="BX380" s="459"/>
      <c r="BY380" s="459"/>
      <c r="BZ380" s="459"/>
      <c r="CA380" s="459"/>
      <c r="CB380" s="459"/>
      <c r="CC380" s="459"/>
    </row>
    <row r="381" spans="1:81" s="467" customFormat="1" x14ac:dyDescent="0.2">
      <c r="A381" s="472"/>
      <c r="C381" s="473"/>
      <c r="G381" s="474"/>
      <c r="H381" s="473"/>
      <c r="P381" s="459"/>
      <c r="Q381" s="459"/>
      <c r="R381" s="459"/>
      <c r="S381" s="459"/>
      <c r="T381" s="459"/>
      <c r="U381" s="459"/>
      <c r="V381" s="459"/>
      <c r="W381" s="459"/>
      <c r="X381" s="459"/>
      <c r="Y381" s="459"/>
      <c r="Z381" s="459"/>
      <c r="AA381" s="459"/>
      <c r="AB381" s="459"/>
      <c r="AC381" s="459"/>
      <c r="AD381" s="459"/>
      <c r="AE381" s="459"/>
      <c r="AF381" s="459"/>
      <c r="AG381" s="459"/>
      <c r="AH381" s="459"/>
      <c r="AI381" s="459"/>
      <c r="AJ381" s="459"/>
      <c r="AK381" s="459"/>
      <c r="AL381" s="459"/>
      <c r="AM381" s="459"/>
      <c r="AN381" s="459"/>
      <c r="AO381" s="459"/>
      <c r="AP381" s="459"/>
      <c r="AQ381" s="459"/>
      <c r="AR381" s="459"/>
      <c r="AS381" s="459"/>
      <c r="AT381" s="459"/>
      <c r="AU381" s="459"/>
      <c r="AV381" s="459"/>
      <c r="AW381" s="459"/>
      <c r="AX381" s="459"/>
      <c r="AY381" s="459"/>
      <c r="AZ381" s="459"/>
      <c r="BA381" s="459"/>
      <c r="BB381" s="459"/>
      <c r="BC381" s="459"/>
      <c r="BD381" s="459"/>
      <c r="BE381" s="459"/>
      <c r="BF381" s="459"/>
      <c r="BG381" s="459"/>
      <c r="BH381" s="459"/>
      <c r="BI381" s="459"/>
      <c r="BJ381" s="459"/>
      <c r="BK381" s="459"/>
      <c r="BL381" s="459"/>
      <c r="BM381" s="459"/>
      <c r="BN381" s="459"/>
      <c r="BO381" s="459"/>
      <c r="BP381" s="459"/>
      <c r="BQ381" s="459"/>
      <c r="BR381" s="459"/>
      <c r="BS381" s="459"/>
      <c r="BT381" s="459"/>
      <c r="BU381" s="459"/>
      <c r="BV381" s="459"/>
      <c r="BW381" s="459"/>
      <c r="BX381" s="459"/>
      <c r="BY381" s="459"/>
      <c r="BZ381" s="459"/>
      <c r="CA381" s="459"/>
      <c r="CB381" s="459"/>
      <c r="CC381" s="459"/>
    </row>
    <row r="382" spans="1:81" s="467" customFormat="1" x14ac:dyDescent="0.2">
      <c r="A382" s="472"/>
      <c r="C382" s="473"/>
      <c r="G382" s="474"/>
      <c r="H382" s="473"/>
      <c r="P382" s="459"/>
      <c r="Q382" s="459"/>
      <c r="R382" s="459"/>
      <c r="S382" s="459"/>
      <c r="T382" s="459"/>
      <c r="U382" s="459"/>
      <c r="V382" s="459"/>
      <c r="W382" s="459"/>
      <c r="X382" s="459"/>
      <c r="Y382" s="459"/>
      <c r="Z382" s="459"/>
      <c r="AA382" s="459"/>
      <c r="AB382" s="459"/>
      <c r="AC382" s="459"/>
      <c r="AD382" s="459"/>
      <c r="AE382" s="459"/>
      <c r="AF382" s="459"/>
      <c r="AG382" s="459"/>
      <c r="AH382" s="459"/>
      <c r="AI382" s="459"/>
      <c r="AJ382" s="459"/>
      <c r="AK382" s="459"/>
      <c r="AL382" s="459"/>
      <c r="AM382" s="459"/>
      <c r="AN382" s="459"/>
      <c r="AO382" s="459"/>
      <c r="AP382" s="459"/>
      <c r="AQ382" s="459"/>
      <c r="AR382" s="459"/>
      <c r="AS382" s="459"/>
      <c r="AT382" s="459"/>
      <c r="AU382" s="459"/>
      <c r="AV382" s="459"/>
      <c r="AW382" s="459"/>
      <c r="AX382" s="459"/>
      <c r="AY382" s="459"/>
      <c r="AZ382" s="459"/>
      <c r="BA382" s="459"/>
      <c r="BB382" s="459"/>
      <c r="BC382" s="459"/>
      <c r="BD382" s="459"/>
      <c r="BE382" s="459"/>
      <c r="BF382" s="459"/>
      <c r="BG382" s="459"/>
      <c r="BH382" s="459"/>
      <c r="BI382" s="459"/>
      <c r="BJ382" s="459"/>
      <c r="BK382" s="459"/>
      <c r="BL382" s="459"/>
      <c r="BM382" s="459"/>
      <c r="BN382" s="459"/>
      <c r="BO382" s="459"/>
      <c r="BP382" s="459"/>
      <c r="BQ382" s="459"/>
      <c r="BR382" s="459"/>
      <c r="BS382" s="459"/>
      <c r="BT382" s="459"/>
      <c r="BU382" s="459"/>
      <c r="BV382" s="459"/>
      <c r="BW382" s="459"/>
      <c r="BX382" s="459"/>
      <c r="BY382" s="459"/>
      <c r="BZ382" s="459"/>
      <c r="CA382" s="459"/>
      <c r="CB382" s="459"/>
      <c r="CC382" s="459"/>
    </row>
    <row r="383" spans="1:81" s="467" customFormat="1" x14ac:dyDescent="0.2">
      <c r="A383" s="472"/>
      <c r="C383" s="473"/>
      <c r="G383" s="474"/>
      <c r="H383" s="473"/>
      <c r="P383" s="459"/>
      <c r="Q383" s="459"/>
      <c r="R383" s="459"/>
      <c r="S383" s="459"/>
      <c r="T383" s="459"/>
      <c r="U383" s="459"/>
      <c r="V383" s="459"/>
      <c r="W383" s="459"/>
      <c r="X383" s="459"/>
      <c r="Y383" s="459"/>
      <c r="Z383" s="459"/>
      <c r="AA383" s="459"/>
      <c r="AB383" s="459"/>
      <c r="AC383" s="459"/>
      <c r="AD383" s="459"/>
      <c r="AE383" s="459"/>
      <c r="AF383" s="459"/>
      <c r="AG383" s="459"/>
      <c r="AH383" s="459"/>
      <c r="AI383" s="459"/>
      <c r="AJ383" s="459"/>
      <c r="AK383" s="459"/>
      <c r="AL383" s="459"/>
      <c r="AM383" s="459"/>
      <c r="AN383" s="459"/>
      <c r="AO383" s="459"/>
      <c r="AP383" s="459"/>
      <c r="AQ383" s="459"/>
      <c r="AR383" s="459"/>
      <c r="AS383" s="459"/>
      <c r="AT383" s="459"/>
      <c r="AU383" s="459"/>
      <c r="AV383" s="459"/>
      <c r="AW383" s="459"/>
      <c r="AX383" s="459"/>
      <c r="AY383" s="459"/>
      <c r="AZ383" s="459"/>
      <c r="BA383" s="459"/>
      <c r="BB383" s="459"/>
      <c r="BC383" s="459"/>
      <c r="BD383" s="459"/>
      <c r="BE383" s="459"/>
      <c r="BF383" s="459"/>
      <c r="BG383" s="459"/>
      <c r="BH383" s="459"/>
      <c r="BI383" s="459"/>
      <c r="BJ383" s="459"/>
      <c r="BK383" s="459"/>
      <c r="BL383" s="459"/>
      <c r="BM383" s="459"/>
      <c r="BN383" s="459"/>
      <c r="BO383" s="459"/>
      <c r="BP383" s="459"/>
      <c r="BQ383" s="459"/>
      <c r="BR383" s="459"/>
      <c r="BS383" s="459"/>
      <c r="BT383" s="459"/>
      <c r="BU383" s="459"/>
      <c r="BV383" s="459"/>
      <c r="BW383" s="459"/>
      <c r="BX383" s="459"/>
      <c r="BY383" s="459"/>
      <c r="BZ383" s="459"/>
      <c r="CA383" s="459"/>
      <c r="CB383" s="459"/>
      <c r="CC383" s="459"/>
    </row>
    <row r="384" spans="1:81" s="467" customFormat="1" x14ac:dyDescent="0.2">
      <c r="A384" s="472"/>
      <c r="C384" s="473"/>
      <c r="G384" s="474"/>
      <c r="H384" s="473"/>
      <c r="P384" s="459"/>
      <c r="Q384" s="459"/>
      <c r="R384" s="459"/>
      <c r="S384" s="459"/>
      <c r="T384" s="459"/>
      <c r="U384" s="459"/>
      <c r="V384" s="459"/>
      <c r="W384" s="459"/>
      <c r="X384" s="459"/>
      <c r="Y384" s="459"/>
      <c r="Z384" s="459"/>
      <c r="AA384" s="459"/>
      <c r="AB384" s="459"/>
      <c r="AC384" s="459"/>
      <c r="AD384" s="459"/>
      <c r="AE384" s="459"/>
      <c r="AF384" s="459"/>
      <c r="AG384" s="459"/>
      <c r="AH384" s="459"/>
      <c r="AI384" s="459"/>
      <c r="AJ384" s="459"/>
      <c r="AK384" s="459"/>
      <c r="AL384" s="459"/>
      <c r="AM384" s="459"/>
      <c r="AN384" s="459"/>
      <c r="AO384" s="459"/>
      <c r="AP384" s="459"/>
      <c r="AQ384" s="459"/>
      <c r="AR384" s="459"/>
      <c r="AS384" s="459"/>
      <c r="AT384" s="459"/>
      <c r="AU384" s="459"/>
      <c r="AV384" s="459"/>
      <c r="AW384" s="459"/>
      <c r="AX384" s="459"/>
      <c r="AY384" s="459"/>
      <c r="AZ384" s="459"/>
      <c r="BA384" s="459"/>
      <c r="BB384" s="459"/>
      <c r="BC384" s="459"/>
      <c r="BD384" s="459"/>
      <c r="BE384" s="459"/>
      <c r="BF384" s="459"/>
      <c r="BG384" s="459"/>
      <c r="BH384" s="459"/>
      <c r="BI384" s="459"/>
      <c r="BJ384" s="459"/>
      <c r="BK384" s="459"/>
      <c r="BL384" s="459"/>
      <c r="BM384" s="459"/>
      <c r="BN384" s="459"/>
      <c r="BO384" s="459"/>
      <c r="BP384" s="459"/>
      <c r="BQ384" s="459"/>
      <c r="BR384" s="459"/>
      <c r="BS384" s="459"/>
      <c r="BT384" s="459"/>
      <c r="BU384" s="459"/>
      <c r="BV384" s="459"/>
      <c r="BW384" s="459"/>
      <c r="BX384" s="459"/>
      <c r="BY384" s="459"/>
      <c r="BZ384" s="459"/>
      <c r="CA384" s="459"/>
      <c r="CB384" s="459"/>
      <c r="CC384" s="459"/>
    </row>
    <row r="385" spans="1:81" s="467" customFormat="1" x14ac:dyDescent="0.2">
      <c r="A385" s="472"/>
      <c r="C385" s="473"/>
      <c r="G385" s="474"/>
      <c r="H385" s="473"/>
      <c r="P385" s="459"/>
      <c r="Q385" s="459"/>
      <c r="R385" s="459"/>
      <c r="S385" s="459"/>
      <c r="T385" s="459"/>
      <c r="U385" s="459"/>
      <c r="V385" s="459"/>
      <c r="W385" s="459"/>
      <c r="X385" s="459"/>
      <c r="Y385" s="459"/>
      <c r="Z385" s="459"/>
      <c r="AA385" s="459"/>
      <c r="AB385" s="459"/>
      <c r="AC385" s="459"/>
      <c r="AD385" s="459"/>
      <c r="AE385" s="459"/>
      <c r="AF385" s="459"/>
      <c r="AG385" s="459"/>
      <c r="AH385" s="459"/>
      <c r="AI385" s="459"/>
      <c r="AJ385" s="459"/>
      <c r="AK385" s="459"/>
      <c r="AL385" s="459"/>
      <c r="AM385" s="459"/>
      <c r="AN385" s="459"/>
      <c r="AO385" s="459"/>
      <c r="AP385" s="459"/>
      <c r="AQ385" s="459"/>
      <c r="AR385" s="459"/>
      <c r="AS385" s="459"/>
      <c r="AT385" s="459"/>
      <c r="AU385" s="459"/>
      <c r="AV385" s="459"/>
      <c r="AW385" s="459"/>
      <c r="AX385" s="459"/>
      <c r="AY385" s="459"/>
      <c r="AZ385" s="459"/>
      <c r="BA385" s="459"/>
      <c r="BB385" s="459"/>
      <c r="BC385" s="459"/>
      <c r="BD385" s="459"/>
      <c r="BE385" s="459"/>
      <c r="BF385" s="459"/>
      <c r="BG385" s="459"/>
      <c r="BH385" s="459"/>
      <c r="BI385" s="459"/>
      <c r="BJ385" s="459"/>
      <c r="BK385" s="459"/>
      <c r="BL385" s="459"/>
      <c r="BM385" s="459"/>
      <c r="BN385" s="459"/>
      <c r="BO385" s="459"/>
      <c r="BP385" s="459"/>
      <c r="BQ385" s="459"/>
      <c r="BR385" s="459"/>
      <c r="BS385" s="459"/>
      <c r="BT385" s="459"/>
      <c r="BU385" s="459"/>
      <c r="BV385" s="459"/>
      <c r="BW385" s="459"/>
      <c r="BX385" s="459"/>
      <c r="BY385" s="459"/>
      <c r="BZ385" s="459"/>
      <c r="CA385" s="459"/>
      <c r="CB385" s="459"/>
      <c r="CC385" s="459"/>
    </row>
    <row r="386" spans="1:81" s="467" customFormat="1" x14ac:dyDescent="0.2">
      <c r="A386" s="472"/>
      <c r="C386" s="473"/>
      <c r="G386" s="474"/>
      <c r="H386" s="473"/>
      <c r="P386" s="459"/>
      <c r="Q386" s="459"/>
      <c r="R386" s="459"/>
      <c r="S386" s="459"/>
      <c r="T386" s="459"/>
      <c r="U386" s="459"/>
      <c r="V386" s="459"/>
      <c r="W386" s="459"/>
      <c r="X386" s="459"/>
      <c r="Y386" s="459"/>
      <c r="Z386" s="459"/>
      <c r="AA386" s="459"/>
      <c r="AB386" s="459"/>
      <c r="AC386" s="459"/>
      <c r="AD386" s="459"/>
      <c r="AE386" s="459"/>
      <c r="AF386" s="459"/>
      <c r="AG386" s="459"/>
      <c r="AH386" s="459"/>
      <c r="AI386" s="459"/>
      <c r="AJ386" s="459"/>
      <c r="AK386" s="459"/>
      <c r="AL386" s="459"/>
      <c r="AM386" s="459"/>
      <c r="AN386" s="459"/>
      <c r="AO386" s="459"/>
      <c r="AP386" s="459"/>
      <c r="AQ386" s="459"/>
      <c r="AR386" s="459"/>
      <c r="AS386" s="459"/>
      <c r="AT386" s="459"/>
      <c r="AU386" s="459"/>
      <c r="AV386" s="459"/>
      <c r="AW386" s="459"/>
      <c r="AX386" s="459"/>
      <c r="AY386" s="459"/>
      <c r="AZ386" s="459"/>
      <c r="BA386" s="459"/>
      <c r="BB386" s="459"/>
      <c r="BC386" s="459"/>
      <c r="BD386" s="459"/>
      <c r="BE386" s="459"/>
      <c r="BF386" s="459"/>
      <c r="BG386" s="459"/>
      <c r="BH386" s="459"/>
      <c r="BI386" s="459"/>
      <c r="BJ386" s="459"/>
      <c r="BK386" s="459"/>
      <c r="BL386" s="459"/>
      <c r="BM386" s="459"/>
      <c r="BN386" s="459"/>
      <c r="BO386" s="459"/>
      <c r="BP386" s="459"/>
      <c r="BQ386" s="459"/>
      <c r="BR386" s="459"/>
      <c r="BS386" s="459"/>
      <c r="BT386" s="459"/>
      <c r="BU386" s="459"/>
      <c r="BV386" s="459"/>
      <c r="BW386" s="459"/>
      <c r="BX386" s="459"/>
      <c r="BY386" s="459"/>
      <c r="BZ386" s="459"/>
      <c r="CA386" s="459"/>
      <c r="CB386" s="459"/>
      <c r="CC386" s="459"/>
    </row>
    <row r="387" spans="1:81" s="467" customFormat="1" x14ac:dyDescent="0.2">
      <c r="A387" s="472"/>
      <c r="C387" s="473"/>
      <c r="G387" s="474"/>
      <c r="H387" s="473"/>
      <c r="P387" s="459"/>
      <c r="Q387" s="459"/>
      <c r="R387" s="459"/>
      <c r="S387" s="459"/>
      <c r="T387" s="459"/>
      <c r="U387" s="459"/>
      <c r="V387" s="459"/>
      <c r="W387" s="459"/>
      <c r="X387" s="459"/>
      <c r="Y387" s="459"/>
      <c r="Z387" s="459"/>
      <c r="AA387" s="459"/>
      <c r="AB387" s="459"/>
      <c r="AC387" s="459"/>
      <c r="AD387" s="459"/>
      <c r="AE387" s="459"/>
      <c r="AF387" s="459"/>
      <c r="AG387" s="459"/>
      <c r="AH387" s="459"/>
      <c r="AI387" s="459"/>
      <c r="AJ387" s="459"/>
      <c r="AK387" s="459"/>
      <c r="AL387" s="459"/>
      <c r="AM387" s="459"/>
      <c r="AN387" s="459"/>
      <c r="AO387" s="459"/>
      <c r="AP387" s="459"/>
      <c r="AQ387" s="459"/>
      <c r="AR387" s="459"/>
      <c r="AS387" s="459"/>
      <c r="AT387" s="459"/>
      <c r="AU387" s="459"/>
      <c r="AV387" s="459"/>
      <c r="AW387" s="459"/>
      <c r="AX387" s="459"/>
      <c r="AY387" s="459"/>
      <c r="AZ387" s="459"/>
      <c r="BA387" s="459"/>
      <c r="BB387" s="459"/>
      <c r="BC387" s="459"/>
      <c r="BD387" s="459"/>
      <c r="BE387" s="459"/>
      <c r="BF387" s="459"/>
      <c r="BG387" s="459"/>
      <c r="BH387" s="459"/>
      <c r="BI387" s="459"/>
      <c r="BJ387" s="459"/>
      <c r="BK387" s="459"/>
      <c r="BL387" s="459"/>
      <c r="BM387" s="459"/>
      <c r="BN387" s="459"/>
      <c r="BO387" s="459"/>
      <c r="BP387" s="459"/>
      <c r="BQ387" s="459"/>
      <c r="BR387" s="459"/>
      <c r="BS387" s="459"/>
      <c r="BT387" s="459"/>
      <c r="BU387" s="459"/>
      <c r="BV387" s="459"/>
      <c r="BW387" s="459"/>
      <c r="BX387" s="459"/>
      <c r="BY387" s="459"/>
      <c r="BZ387" s="459"/>
      <c r="CA387" s="459"/>
      <c r="CB387" s="459"/>
      <c r="CC387" s="459"/>
    </row>
    <row r="388" spans="1:81" s="467" customFormat="1" x14ac:dyDescent="0.2">
      <c r="A388" s="472"/>
      <c r="C388" s="473"/>
      <c r="G388" s="474"/>
      <c r="H388" s="473"/>
      <c r="P388" s="459"/>
      <c r="Q388" s="459"/>
      <c r="R388" s="459"/>
      <c r="S388" s="459"/>
      <c r="T388" s="459"/>
      <c r="U388" s="459"/>
      <c r="V388" s="459"/>
      <c r="W388" s="459"/>
      <c r="X388" s="459"/>
      <c r="Y388" s="459"/>
      <c r="Z388" s="459"/>
      <c r="AA388" s="459"/>
      <c r="AB388" s="459"/>
      <c r="AC388" s="459"/>
      <c r="AD388" s="459"/>
      <c r="AE388" s="459"/>
      <c r="AF388" s="459"/>
      <c r="AG388" s="459"/>
      <c r="AH388" s="459"/>
      <c r="AI388" s="459"/>
      <c r="AJ388" s="459"/>
      <c r="AK388" s="459"/>
      <c r="AL388" s="459"/>
      <c r="AM388" s="459"/>
      <c r="AN388" s="459"/>
      <c r="AO388" s="459"/>
      <c r="AP388" s="459"/>
      <c r="AQ388" s="459"/>
      <c r="AR388" s="459"/>
      <c r="AS388" s="459"/>
      <c r="AT388" s="459"/>
      <c r="AU388" s="459"/>
      <c r="AV388" s="459"/>
      <c r="AW388" s="459"/>
      <c r="AX388" s="459"/>
      <c r="AY388" s="459"/>
      <c r="AZ388" s="459"/>
      <c r="BA388" s="459"/>
      <c r="BB388" s="459"/>
      <c r="BC388" s="459"/>
      <c r="BD388" s="459"/>
      <c r="BE388" s="459"/>
      <c r="BF388" s="459"/>
      <c r="BG388" s="459"/>
      <c r="BH388" s="459"/>
      <c r="BI388" s="459"/>
      <c r="BJ388" s="459"/>
      <c r="BK388" s="459"/>
      <c r="BL388" s="459"/>
      <c r="BM388" s="459"/>
      <c r="BN388" s="459"/>
      <c r="BO388" s="459"/>
      <c r="BP388" s="459"/>
      <c r="BQ388" s="459"/>
      <c r="BR388" s="459"/>
      <c r="BS388" s="459"/>
      <c r="BT388" s="459"/>
      <c r="BU388" s="459"/>
      <c r="BV388" s="459"/>
      <c r="BW388" s="459"/>
      <c r="BX388" s="459"/>
      <c r="BY388" s="459"/>
      <c r="BZ388" s="459"/>
      <c r="CA388" s="459"/>
      <c r="CB388" s="459"/>
      <c r="CC388" s="459"/>
    </row>
    <row r="389" spans="1:81" s="467" customFormat="1" x14ac:dyDescent="0.2">
      <c r="A389" s="472"/>
      <c r="C389" s="473"/>
      <c r="G389" s="474"/>
      <c r="H389" s="473"/>
      <c r="P389" s="459"/>
      <c r="Q389" s="459"/>
      <c r="R389" s="459"/>
      <c r="S389" s="459"/>
      <c r="T389" s="459"/>
      <c r="U389" s="459"/>
      <c r="V389" s="459"/>
      <c r="W389" s="459"/>
      <c r="X389" s="459"/>
      <c r="Y389" s="459"/>
      <c r="Z389" s="459"/>
      <c r="AA389" s="459"/>
      <c r="AB389" s="459"/>
      <c r="AC389" s="459"/>
      <c r="AD389" s="459"/>
      <c r="AE389" s="459"/>
      <c r="AF389" s="459"/>
      <c r="AG389" s="459"/>
      <c r="AH389" s="459"/>
      <c r="AI389" s="459"/>
      <c r="AJ389" s="459"/>
      <c r="AK389" s="459"/>
      <c r="AL389" s="459"/>
      <c r="AM389" s="459"/>
      <c r="AN389" s="459"/>
      <c r="AO389" s="459"/>
      <c r="AP389" s="459"/>
      <c r="AQ389" s="459"/>
      <c r="AR389" s="459"/>
      <c r="AS389" s="459"/>
      <c r="AT389" s="459"/>
      <c r="AU389" s="459"/>
      <c r="AV389" s="459"/>
      <c r="AW389" s="459"/>
      <c r="AX389" s="459"/>
      <c r="AY389" s="459"/>
      <c r="AZ389" s="459"/>
      <c r="BA389" s="459"/>
      <c r="BB389" s="459"/>
      <c r="BC389" s="459"/>
      <c r="BD389" s="459"/>
      <c r="BE389" s="459"/>
      <c r="BF389" s="459"/>
      <c r="BG389" s="459"/>
      <c r="BH389" s="459"/>
      <c r="BI389" s="459"/>
      <c r="BJ389" s="459"/>
      <c r="BK389" s="459"/>
      <c r="BL389" s="459"/>
      <c r="BM389" s="459"/>
      <c r="BN389" s="459"/>
      <c r="BO389" s="459"/>
      <c r="BP389" s="459"/>
      <c r="BQ389" s="459"/>
      <c r="BR389" s="459"/>
      <c r="BS389" s="459"/>
      <c r="BT389" s="459"/>
      <c r="BU389" s="459"/>
      <c r="BV389" s="459"/>
      <c r="BW389" s="459"/>
      <c r="BX389" s="459"/>
      <c r="BY389" s="459"/>
      <c r="BZ389" s="459"/>
      <c r="CA389" s="459"/>
      <c r="CB389" s="459"/>
      <c r="CC389" s="459"/>
    </row>
    <row r="390" spans="1:81" s="467" customFormat="1" x14ac:dyDescent="0.2">
      <c r="A390" s="472"/>
      <c r="C390" s="473"/>
      <c r="G390" s="474"/>
      <c r="H390" s="473"/>
      <c r="P390" s="459"/>
      <c r="Q390" s="459"/>
      <c r="R390" s="459"/>
      <c r="S390" s="459"/>
      <c r="T390" s="459"/>
      <c r="U390" s="459"/>
      <c r="V390" s="459"/>
      <c r="W390" s="459"/>
      <c r="X390" s="459"/>
      <c r="Y390" s="459"/>
      <c r="Z390" s="459"/>
      <c r="AA390" s="459"/>
      <c r="AB390" s="459"/>
      <c r="AC390" s="459"/>
      <c r="AD390" s="459"/>
      <c r="AE390" s="459"/>
      <c r="AF390" s="459"/>
      <c r="AG390" s="459"/>
      <c r="AH390" s="459"/>
      <c r="AI390" s="459"/>
      <c r="AJ390" s="459"/>
      <c r="AK390" s="459"/>
      <c r="AL390" s="459"/>
      <c r="AM390" s="459"/>
      <c r="AN390" s="459"/>
      <c r="AO390" s="459"/>
      <c r="AP390" s="459"/>
      <c r="AQ390" s="459"/>
      <c r="AR390" s="459"/>
      <c r="AS390" s="459"/>
      <c r="AT390" s="459"/>
      <c r="AU390" s="459"/>
      <c r="AV390" s="459"/>
      <c r="AW390" s="459"/>
      <c r="AX390" s="459"/>
      <c r="AY390" s="459"/>
      <c r="AZ390" s="459"/>
      <c r="BA390" s="459"/>
      <c r="BB390" s="459"/>
      <c r="BC390" s="459"/>
      <c r="BD390" s="459"/>
      <c r="BE390" s="459"/>
      <c r="BF390" s="459"/>
      <c r="BG390" s="459"/>
      <c r="BH390" s="459"/>
      <c r="BI390" s="459"/>
      <c r="BJ390" s="459"/>
      <c r="BK390" s="459"/>
      <c r="BL390" s="459"/>
      <c r="BM390" s="459"/>
      <c r="BN390" s="459"/>
      <c r="BO390" s="459"/>
      <c r="BP390" s="459"/>
      <c r="BQ390" s="459"/>
      <c r="BR390" s="459"/>
      <c r="BS390" s="459"/>
      <c r="BT390" s="459"/>
      <c r="BU390" s="459"/>
      <c r="BV390" s="459"/>
      <c r="BW390" s="459"/>
      <c r="BX390" s="459"/>
      <c r="BY390" s="459"/>
      <c r="BZ390" s="459"/>
      <c r="CA390" s="459"/>
      <c r="CB390" s="459"/>
      <c r="CC390" s="459"/>
    </row>
    <row r="391" spans="1:81" s="467" customFormat="1" x14ac:dyDescent="0.2">
      <c r="A391" s="472"/>
      <c r="C391" s="473"/>
      <c r="G391" s="474"/>
      <c r="H391" s="473"/>
      <c r="P391" s="459"/>
      <c r="Q391" s="459"/>
      <c r="R391" s="459"/>
      <c r="S391" s="459"/>
      <c r="T391" s="459"/>
      <c r="U391" s="459"/>
      <c r="V391" s="459"/>
      <c r="W391" s="459"/>
      <c r="X391" s="459"/>
      <c r="Y391" s="459"/>
      <c r="Z391" s="459"/>
      <c r="AA391" s="459"/>
      <c r="AB391" s="459"/>
      <c r="AC391" s="459"/>
      <c r="AD391" s="459"/>
      <c r="AE391" s="459"/>
      <c r="AF391" s="459"/>
      <c r="AG391" s="459"/>
      <c r="AH391" s="459"/>
      <c r="AI391" s="459"/>
      <c r="AJ391" s="459"/>
      <c r="AK391" s="459"/>
      <c r="AL391" s="459"/>
      <c r="AM391" s="459"/>
      <c r="AN391" s="459"/>
      <c r="AO391" s="459"/>
      <c r="AP391" s="459"/>
      <c r="AQ391" s="459"/>
      <c r="AR391" s="459"/>
      <c r="AS391" s="459"/>
      <c r="AT391" s="459"/>
      <c r="AU391" s="459"/>
      <c r="AV391" s="459"/>
      <c r="AW391" s="459"/>
      <c r="AX391" s="459"/>
      <c r="AY391" s="459"/>
      <c r="AZ391" s="459"/>
      <c r="BA391" s="459"/>
      <c r="BB391" s="459"/>
      <c r="BC391" s="459"/>
      <c r="BD391" s="459"/>
      <c r="BE391" s="459"/>
      <c r="BF391" s="459"/>
      <c r="BG391" s="459"/>
      <c r="BH391" s="459"/>
      <c r="BI391" s="459"/>
      <c r="BJ391" s="459"/>
      <c r="BK391" s="459"/>
      <c r="BL391" s="459"/>
      <c r="BM391" s="459"/>
      <c r="BN391" s="459"/>
      <c r="BO391" s="459"/>
      <c r="BP391" s="459"/>
      <c r="BQ391" s="459"/>
      <c r="BR391" s="459"/>
      <c r="BS391" s="459"/>
      <c r="BT391" s="459"/>
      <c r="BU391" s="459"/>
      <c r="BV391" s="459"/>
      <c r="BW391" s="459"/>
      <c r="BX391" s="459"/>
      <c r="BY391" s="459"/>
      <c r="BZ391" s="459"/>
      <c r="CA391" s="459"/>
      <c r="CB391" s="459"/>
      <c r="CC391" s="459"/>
    </row>
    <row r="392" spans="1:81" s="467" customFormat="1" x14ac:dyDescent="0.2">
      <c r="A392" s="472"/>
      <c r="C392" s="473"/>
      <c r="G392" s="474"/>
      <c r="H392" s="473"/>
      <c r="P392" s="459"/>
      <c r="Q392" s="459"/>
      <c r="R392" s="459"/>
      <c r="S392" s="459"/>
      <c r="T392" s="459"/>
      <c r="U392" s="459"/>
      <c r="V392" s="459"/>
      <c r="W392" s="459"/>
      <c r="X392" s="459"/>
      <c r="Y392" s="459"/>
      <c r="Z392" s="459"/>
      <c r="AA392" s="459"/>
      <c r="AB392" s="459"/>
      <c r="AC392" s="459"/>
      <c r="AD392" s="459"/>
      <c r="AE392" s="459"/>
      <c r="AF392" s="459"/>
      <c r="AG392" s="459"/>
      <c r="AH392" s="459"/>
      <c r="AI392" s="459"/>
      <c r="AJ392" s="459"/>
      <c r="AK392" s="459"/>
      <c r="AL392" s="459"/>
      <c r="AM392" s="459"/>
      <c r="AN392" s="459"/>
      <c r="AO392" s="459"/>
      <c r="AP392" s="459"/>
      <c r="AQ392" s="459"/>
      <c r="AR392" s="459"/>
      <c r="AS392" s="459"/>
      <c r="AT392" s="459"/>
      <c r="AU392" s="459"/>
      <c r="AV392" s="459"/>
      <c r="AW392" s="459"/>
      <c r="AX392" s="459"/>
      <c r="AY392" s="459"/>
      <c r="AZ392" s="459"/>
      <c r="BA392" s="459"/>
      <c r="BB392" s="459"/>
      <c r="BC392" s="459"/>
      <c r="BD392" s="459"/>
      <c r="BE392" s="459"/>
      <c r="BF392" s="459"/>
      <c r="BG392" s="459"/>
      <c r="BH392" s="459"/>
      <c r="BI392" s="459"/>
      <c r="BJ392" s="459"/>
      <c r="BK392" s="459"/>
      <c r="BL392" s="459"/>
      <c r="BM392" s="459"/>
      <c r="BN392" s="459"/>
      <c r="BO392" s="459"/>
      <c r="BP392" s="459"/>
      <c r="BQ392" s="459"/>
      <c r="BR392" s="459"/>
      <c r="BS392" s="459"/>
      <c r="BT392" s="459"/>
      <c r="BU392" s="459"/>
      <c r="BV392" s="459"/>
      <c r="BW392" s="459"/>
      <c r="BX392" s="459"/>
      <c r="BY392" s="459"/>
      <c r="BZ392" s="459"/>
      <c r="CA392" s="459"/>
      <c r="CB392" s="459"/>
      <c r="CC392" s="459"/>
    </row>
    <row r="393" spans="1:81" s="467" customFormat="1" x14ac:dyDescent="0.2">
      <c r="A393" s="472"/>
      <c r="C393" s="473"/>
      <c r="G393" s="474"/>
      <c r="H393" s="473"/>
      <c r="P393" s="459"/>
      <c r="Q393" s="459"/>
      <c r="R393" s="459"/>
      <c r="S393" s="459"/>
      <c r="T393" s="459"/>
      <c r="U393" s="459"/>
      <c r="V393" s="459"/>
      <c r="W393" s="459"/>
      <c r="X393" s="459"/>
      <c r="Y393" s="459"/>
      <c r="Z393" s="459"/>
      <c r="AA393" s="459"/>
      <c r="AB393" s="459"/>
      <c r="AC393" s="459"/>
      <c r="AD393" s="459"/>
      <c r="AE393" s="459"/>
      <c r="AF393" s="459"/>
      <c r="AG393" s="459"/>
      <c r="AH393" s="459"/>
      <c r="AI393" s="459"/>
      <c r="AJ393" s="459"/>
      <c r="AK393" s="459"/>
      <c r="AL393" s="459"/>
      <c r="AM393" s="459"/>
      <c r="AN393" s="459"/>
      <c r="AO393" s="459"/>
      <c r="AP393" s="459"/>
      <c r="AQ393" s="459"/>
      <c r="AR393" s="459"/>
      <c r="AS393" s="459"/>
      <c r="AT393" s="459"/>
      <c r="AU393" s="459"/>
      <c r="AV393" s="459"/>
      <c r="AW393" s="459"/>
      <c r="AX393" s="459"/>
      <c r="AY393" s="459"/>
      <c r="AZ393" s="459"/>
      <c r="BA393" s="459"/>
      <c r="BB393" s="459"/>
      <c r="BC393" s="459"/>
      <c r="BD393" s="459"/>
      <c r="BE393" s="459"/>
      <c r="BF393" s="459"/>
      <c r="BG393" s="459"/>
      <c r="BH393" s="459"/>
      <c r="BI393" s="459"/>
      <c r="BJ393" s="459"/>
      <c r="BK393" s="459"/>
      <c r="BL393" s="459"/>
      <c r="BM393" s="459"/>
      <c r="BN393" s="459"/>
      <c r="BO393" s="459"/>
      <c r="BP393" s="459"/>
      <c r="BQ393" s="459"/>
      <c r="BR393" s="459"/>
      <c r="BS393" s="459"/>
      <c r="BT393" s="459"/>
      <c r="BU393" s="459"/>
      <c r="BV393" s="459"/>
      <c r="BW393" s="459"/>
      <c r="BX393" s="459"/>
      <c r="BY393" s="459"/>
      <c r="BZ393" s="459"/>
      <c r="CA393" s="459"/>
      <c r="CB393" s="459"/>
      <c r="CC393" s="459"/>
    </row>
    <row r="394" spans="1:81" s="467" customFormat="1" x14ac:dyDescent="0.2">
      <c r="A394" s="472"/>
      <c r="C394" s="473"/>
      <c r="G394" s="474"/>
      <c r="H394" s="473"/>
      <c r="P394" s="459"/>
      <c r="Q394" s="459"/>
      <c r="R394" s="459"/>
      <c r="S394" s="459"/>
      <c r="T394" s="459"/>
      <c r="U394" s="459"/>
      <c r="V394" s="459"/>
      <c r="W394" s="459"/>
      <c r="X394" s="459"/>
      <c r="Y394" s="459"/>
      <c r="Z394" s="459"/>
      <c r="AA394" s="459"/>
      <c r="AB394" s="459"/>
      <c r="AC394" s="459"/>
      <c r="AD394" s="459"/>
      <c r="AE394" s="459"/>
      <c r="AF394" s="459"/>
      <c r="AG394" s="459"/>
      <c r="AH394" s="459"/>
      <c r="AI394" s="459"/>
      <c r="AJ394" s="459"/>
      <c r="AK394" s="459"/>
      <c r="AL394" s="459"/>
      <c r="AM394" s="459"/>
      <c r="AN394" s="459"/>
      <c r="AO394" s="459"/>
      <c r="AP394" s="459"/>
      <c r="AQ394" s="459"/>
      <c r="AR394" s="459"/>
      <c r="AS394" s="459"/>
      <c r="AT394" s="459"/>
      <c r="AU394" s="459"/>
      <c r="AV394" s="459"/>
      <c r="AW394" s="459"/>
      <c r="AX394" s="459"/>
      <c r="AY394" s="459"/>
      <c r="AZ394" s="459"/>
      <c r="BA394" s="459"/>
      <c r="BB394" s="459"/>
      <c r="BC394" s="459"/>
      <c r="BD394" s="459"/>
      <c r="BE394" s="459"/>
      <c r="BF394" s="459"/>
      <c r="BG394" s="459"/>
      <c r="BH394" s="459"/>
      <c r="BI394" s="459"/>
      <c r="BJ394" s="459"/>
      <c r="BK394" s="459"/>
      <c r="BL394" s="459"/>
      <c r="BM394" s="459"/>
      <c r="BN394" s="459"/>
      <c r="BO394" s="459"/>
      <c r="BP394" s="459"/>
      <c r="BQ394" s="459"/>
      <c r="BR394" s="459"/>
      <c r="BS394" s="459"/>
      <c r="BT394" s="459"/>
      <c r="BU394" s="459"/>
      <c r="BV394" s="459"/>
      <c r="BW394" s="459"/>
      <c r="BX394" s="459"/>
      <c r="BY394" s="459"/>
      <c r="BZ394" s="459"/>
      <c r="CA394" s="459"/>
      <c r="CB394" s="459"/>
      <c r="CC394" s="459"/>
    </row>
    <row r="395" spans="1:81" s="467" customFormat="1" x14ac:dyDescent="0.2">
      <c r="A395" s="472"/>
      <c r="C395" s="473"/>
      <c r="G395" s="474"/>
      <c r="H395" s="473"/>
      <c r="P395" s="459"/>
      <c r="Q395" s="459"/>
      <c r="R395" s="459"/>
      <c r="S395" s="459"/>
      <c r="T395" s="459"/>
      <c r="U395" s="459"/>
      <c r="V395" s="459"/>
      <c r="W395" s="459"/>
      <c r="X395" s="459"/>
      <c r="Y395" s="459"/>
      <c r="Z395" s="459"/>
      <c r="AA395" s="459"/>
      <c r="AB395" s="459"/>
      <c r="AC395" s="459"/>
      <c r="AD395" s="459"/>
      <c r="AE395" s="459"/>
      <c r="AF395" s="459"/>
      <c r="AG395" s="459"/>
      <c r="AH395" s="459"/>
      <c r="AI395" s="459"/>
      <c r="AJ395" s="459"/>
      <c r="AK395" s="459"/>
      <c r="AL395" s="459"/>
      <c r="AM395" s="459"/>
      <c r="AN395" s="459"/>
      <c r="AO395" s="459"/>
      <c r="AP395" s="459"/>
      <c r="AQ395" s="459"/>
      <c r="AR395" s="459"/>
      <c r="AS395" s="459"/>
      <c r="AT395" s="459"/>
      <c r="AU395" s="459"/>
      <c r="AV395" s="459"/>
      <c r="AW395" s="459"/>
      <c r="AX395" s="459"/>
      <c r="AY395" s="459"/>
      <c r="AZ395" s="459"/>
      <c r="BA395" s="459"/>
      <c r="BB395" s="459"/>
      <c r="BC395" s="459"/>
      <c r="BD395" s="459"/>
      <c r="BE395" s="459"/>
      <c r="BF395" s="459"/>
      <c r="BG395" s="459"/>
      <c r="BH395" s="459"/>
      <c r="BI395" s="459"/>
      <c r="BJ395" s="459"/>
      <c r="BK395" s="459"/>
      <c r="BL395" s="459"/>
      <c r="BM395" s="459"/>
      <c r="BN395" s="459"/>
      <c r="BO395" s="459"/>
      <c r="BP395" s="459"/>
      <c r="BQ395" s="459"/>
      <c r="BR395" s="459"/>
      <c r="BS395" s="459"/>
      <c r="BT395" s="459"/>
      <c r="BU395" s="459"/>
      <c r="BV395" s="459"/>
      <c r="BW395" s="459"/>
      <c r="BX395" s="459"/>
      <c r="BY395" s="459"/>
      <c r="BZ395" s="459"/>
      <c r="CA395" s="459"/>
      <c r="CB395" s="459"/>
      <c r="CC395" s="459"/>
    </row>
    <row r="396" spans="1:81" s="467" customFormat="1" x14ac:dyDescent="0.2">
      <c r="A396" s="472"/>
      <c r="C396" s="473"/>
      <c r="G396" s="474"/>
      <c r="H396" s="473"/>
      <c r="P396" s="459"/>
      <c r="Q396" s="459"/>
      <c r="R396" s="459"/>
      <c r="S396" s="459"/>
      <c r="T396" s="459"/>
      <c r="U396" s="459"/>
      <c r="V396" s="459"/>
      <c r="W396" s="459"/>
      <c r="X396" s="459"/>
      <c r="Y396" s="459"/>
      <c r="Z396" s="459"/>
      <c r="AA396" s="459"/>
      <c r="AB396" s="459"/>
      <c r="AC396" s="459"/>
      <c r="AD396" s="459"/>
      <c r="AE396" s="459"/>
      <c r="AF396" s="459"/>
      <c r="AG396" s="459"/>
      <c r="AH396" s="459"/>
      <c r="AI396" s="459"/>
      <c r="AJ396" s="459"/>
      <c r="AK396" s="459"/>
      <c r="AL396" s="459"/>
      <c r="AM396" s="459"/>
      <c r="AN396" s="459"/>
      <c r="AO396" s="459"/>
      <c r="AP396" s="459"/>
      <c r="AQ396" s="459"/>
      <c r="AR396" s="459"/>
      <c r="AS396" s="459"/>
      <c r="AT396" s="459"/>
      <c r="AU396" s="459"/>
      <c r="AV396" s="459"/>
      <c r="AW396" s="459"/>
      <c r="AX396" s="459"/>
      <c r="AY396" s="459"/>
      <c r="AZ396" s="459"/>
      <c r="BA396" s="459"/>
      <c r="BB396" s="459"/>
      <c r="BC396" s="459"/>
      <c r="BD396" s="459"/>
      <c r="BE396" s="459"/>
      <c r="BF396" s="459"/>
      <c r="BG396" s="459"/>
      <c r="BH396" s="459"/>
      <c r="BI396" s="459"/>
      <c r="BJ396" s="459"/>
      <c r="BK396" s="459"/>
      <c r="BL396" s="459"/>
      <c r="BM396" s="459"/>
      <c r="BN396" s="459"/>
      <c r="BO396" s="459"/>
      <c r="BP396" s="459"/>
      <c r="BQ396" s="459"/>
      <c r="BR396" s="459"/>
      <c r="BS396" s="459"/>
      <c r="BT396" s="459"/>
      <c r="BU396" s="459"/>
      <c r="BV396" s="459"/>
      <c r="BW396" s="459"/>
      <c r="BX396" s="459"/>
      <c r="BY396" s="459"/>
      <c r="BZ396" s="459"/>
      <c r="CA396" s="459"/>
      <c r="CB396" s="459"/>
      <c r="CC396" s="459"/>
    </row>
    <row r="397" spans="1:81" s="467" customFormat="1" x14ac:dyDescent="0.2">
      <c r="A397" s="472"/>
      <c r="C397" s="473"/>
      <c r="G397" s="474"/>
      <c r="H397" s="473"/>
      <c r="P397" s="459"/>
      <c r="Q397" s="459"/>
      <c r="R397" s="459"/>
      <c r="S397" s="459"/>
      <c r="T397" s="459"/>
      <c r="U397" s="459"/>
      <c r="V397" s="459"/>
      <c r="W397" s="459"/>
      <c r="X397" s="459"/>
      <c r="Y397" s="459"/>
      <c r="Z397" s="459"/>
      <c r="AA397" s="459"/>
      <c r="AB397" s="459"/>
      <c r="AC397" s="459"/>
      <c r="AD397" s="459"/>
      <c r="AE397" s="459"/>
      <c r="AF397" s="459"/>
      <c r="AG397" s="459"/>
      <c r="AH397" s="459"/>
      <c r="AI397" s="459"/>
      <c r="AJ397" s="459"/>
      <c r="AK397" s="459"/>
      <c r="AL397" s="459"/>
      <c r="AM397" s="459"/>
      <c r="AN397" s="459"/>
      <c r="AO397" s="459"/>
      <c r="AP397" s="459"/>
      <c r="AQ397" s="459"/>
      <c r="AR397" s="459"/>
      <c r="AS397" s="459"/>
      <c r="AT397" s="459"/>
      <c r="AU397" s="459"/>
      <c r="AV397" s="459"/>
      <c r="AW397" s="459"/>
      <c r="AX397" s="459"/>
      <c r="AY397" s="459"/>
      <c r="AZ397" s="459"/>
      <c r="BA397" s="459"/>
      <c r="BB397" s="459"/>
      <c r="BC397" s="459"/>
      <c r="BD397" s="459"/>
      <c r="BE397" s="459"/>
      <c r="BF397" s="459"/>
      <c r="BG397" s="459"/>
      <c r="BH397" s="459"/>
      <c r="BI397" s="459"/>
      <c r="BJ397" s="459"/>
      <c r="BK397" s="459"/>
      <c r="BL397" s="459"/>
      <c r="BM397" s="459"/>
      <c r="BN397" s="459"/>
      <c r="BO397" s="459"/>
      <c r="BP397" s="459"/>
      <c r="BQ397" s="459"/>
      <c r="BR397" s="459"/>
      <c r="BS397" s="459"/>
      <c r="BT397" s="459"/>
      <c r="BU397" s="459"/>
      <c r="BV397" s="459"/>
      <c r="BW397" s="459"/>
      <c r="BX397" s="459"/>
      <c r="BY397" s="459"/>
      <c r="BZ397" s="459"/>
      <c r="CA397" s="459"/>
      <c r="CB397" s="459"/>
      <c r="CC397" s="459"/>
    </row>
    <row r="398" spans="1:81" s="467" customFormat="1" x14ac:dyDescent="0.2">
      <c r="A398" s="472"/>
      <c r="C398" s="473"/>
      <c r="G398" s="474"/>
      <c r="H398" s="473"/>
      <c r="P398" s="459"/>
      <c r="Q398" s="459"/>
      <c r="R398" s="459"/>
      <c r="S398" s="459"/>
      <c r="T398" s="459"/>
      <c r="U398" s="459"/>
      <c r="V398" s="459"/>
      <c r="W398" s="459"/>
      <c r="X398" s="459"/>
      <c r="Y398" s="459"/>
      <c r="Z398" s="459"/>
      <c r="AA398" s="459"/>
      <c r="AB398" s="459"/>
      <c r="AC398" s="459"/>
      <c r="AD398" s="459"/>
      <c r="AE398" s="459"/>
      <c r="AF398" s="459"/>
      <c r="AG398" s="459"/>
      <c r="AH398" s="459"/>
      <c r="AI398" s="459"/>
      <c r="AJ398" s="459"/>
      <c r="AK398" s="459"/>
      <c r="AL398" s="459"/>
      <c r="AM398" s="459"/>
      <c r="AN398" s="459"/>
      <c r="AO398" s="459"/>
      <c r="AP398" s="459"/>
      <c r="AQ398" s="459"/>
      <c r="AR398" s="459"/>
      <c r="AS398" s="459"/>
      <c r="AT398" s="459"/>
      <c r="AU398" s="459"/>
      <c r="AV398" s="459"/>
      <c r="AW398" s="459"/>
      <c r="AX398" s="459"/>
      <c r="AY398" s="459"/>
      <c r="AZ398" s="459"/>
      <c r="BA398" s="459"/>
      <c r="BB398" s="459"/>
      <c r="BC398" s="459"/>
      <c r="BD398" s="459"/>
      <c r="BE398" s="459"/>
      <c r="BF398" s="459"/>
      <c r="BG398" s="459"/>
      <c r="BH398" s="459"/>
      <c r="BI398" s="459"/>
      <c r="BJ398" s="459"/>
      <c r="BK398" s="459"/>
      <c r="BL398" s="459"/>
      <c r="BM398" s="459"/>
      <c r="BN398" s="459"/>
      <c r="BO398" s="459"/>
      <c r="BP398" s="459"/>
      <c r="BQ398" s="459"/>
      <c r="BR398" s="459"/>
      <c r="BS398" s="459"/>
      <c r="BT398" s="459"/>
      <c r="BU398" s="459"/>
      <c r="BV398" s="459"/>
      <c r="BW398" s="459"/>
      <c r="BX398" s="459"/>
      <c r="BY398" s="459"/>
      <c r="BZ398" s="459"/>
      <c r="CA398" s="459"/>
      <c r="CB398" s="459"/>
      <c r="CC398" s="459"/>
    </row>
    <row r="399" spans="1:81" s="467" customFormat="1" x14ac:dyDescent="0.2">
      <c r="A399" s="472"/>
      <c r="C399" s="473"/>
      <c r="G399" s="474"/>
      <c r="H399" s="473"/>
      <c r="P399" s="459"/>
      <c r="Q399" s="459"/>
      <c r="R399" s="459"/>
      <c r="S399" s="459"/>
      <c r="T399" s="459"/>
      <c r="U399" s="459"/>
      <c r="V399" s="459"/>
      <c r="W399" s="459"/>
      <c r="X399" s="459"/>
      <c r="Y399" s="459"/>
      <c r="Z399" s="459"/>
      <c r="AA399" s="459"/>
      <c r="AB399" s="459"/>
      <c r="AC399" s="459"/>
      <c r="AD399" s="459"/>
      <c r="AE399" s="459"/>
      <c r="AF399" s="459"/>
      <c r="AG399" s="459"/>
      <c r="AH399" s="459"/>
      <c r="AI399" s="459"/>
      <c r="AJ399" s="459"/>
      <c r="AK399" s="459"/>
      <c r="AL399" s="459"/>
      <c r="AM399" s="459"/>
      <c r="AN399" s="459"/>
      <c r="AO399" s="459"/>
      <c r="AP399" s="459"/>
      <c r="AQ399" s="459"/>
      <c r="AR399" s="459"/>
      <c r="AS399" s="459"/>
      <c r="AT399" s="459"/>
      <c r="AU399" s="459"/>
      <c r="AV399" s="459"/>
      <c r="AW399" s="459"/>
      <c r="AX399" s="459"/>
      <c r="AY399" s="459"/>
      <c r="AZ399" s="459"/>
      <c r="BA399" s="459"/>
      <c r="BB399" s="459"/>
      <c r="BC399" s="459"/>
      <c r="BD399" s="459"/>
      <c r="BE399" s="459"/>
      <c r="BF399" s="459"/>
      <c r="BG399" s="459"/>
      <c r="BH399" s="459"/>
      <c r="BI399" s="459"/>
      <c r="BJ399" s="459"/>
      <c r="BK399" s="459"/>
      <c r="BL399" s="459"/>
      <c r="BM399" s="459"/>
      <c r="BN399" s="459"/>
      <c r="BO399" s="459"/>
      <c r="BP399" s="459"/>
      <c r="BQ399" s="459"/>
      <c r="BR399" s="459"/>
      <c r="BS399" s="459"/>
      <c r="BT399" s="459"/>
      <c r="BU399" s="459"/>
      <c r="BV399" s="459"/>
      <c r="BW399" s="459"/>
      <c r="BX399" s="459"/>
      <c r="BY399" s="459"/>
      <c r="BZ399" s="459"/>
      <c r="CA399" s="459"/>
      <c r="CB399" s="459"/>
      <c r="CC399" s="459"/>
    </row>
    <row r="400" spans="1:81" s="467" customFormat="1" x14ac:dyDescent="0.2">
      <c r="A400" s="472"/>
      <c r="C400" s="473"/>
      <c r="G400" s="474"/>
      <c r="H400" s="473"/>
      <c r="P400" s="459"/>
      <c r="Q400" s="459"/>
      <c r="R400" s="459"/>
      <c r="S400" s="459"/>
      <c r="T400" s="459"/>
      <c r="U400" s="459"/>
      <c r="V400" s="459"/>
      <c r="W400" s="459"/>
      <c r="X400" s="459"/>
      <c r="Y400" s="459"/>
      <c r="Z400" s="459"/>
      <c r="AA400" s="459"/>
      <c r="AB400" s="459"/>
      <c r="AC400" s="459"/>
      <c r="AD400" s="459"/>
      <c r="AE400" s="459"/>
      <c r="AF400" s="459"/>
      <c r="AG400" s="459"/>
      <c r="AH400" s="459"/>
      <c r="AI400" s="459"/>
      <c r="AJ400" s="459"/>
      <c r="AK400" s="459"/>
      <c r="AL400" s="459"/>
      <c r="AM400" s="459"/>
      <c r="AN400" s="459"/>
      <c r="AO400" s="459"/>
      <c r="AP400" s="459"/>
      <c r="AQ400" s="459"/>
      <c r="AR400" s="459"/>
      <c r="AS400" s="459"/>
      <c r="AT400" s="459"/>
      <c r="AU400" s="459"/>
      <c r="AV400" s="459"/>
      <c r="AW400" s="459"/>
      <c r="AX400" s="459"/>
      <c r="AY400" s="459"/>
      <c r="AZ400" s="459"/>
      <c r="BA400" s="459"/>
      <c r="BB400" s="459"/>
      <c r="BC400" s="459"/>
      <c r="BD400" s="459"/>
      <c r="BE400" s="459"/>
      <c r="BF400" s="459"/>
      <c r="BG400" s="459"/>
      <c r="BH400" s="459"/>
      <c r="BI400" s="459"/>
      <c r="BJ400" s="459"/>
      <c r="BK400" s="459"/>
      <c r="BL400" s="459"/>
      <c r="BM400" s="459"/>
      <c r="BN400" s="459"/>
      <c r="BO400" s="459"/>
      <c r="BP400" s="459"/>
      <c r="BQ400" s="459"/>
      <c r="BR400" s="459"/>
      <c r="BS400" s="459"/>
      <c r="BT400" s="459"/>
      <c r="BU400" s="459"/>
      <c r="BV400" s="459"/>
      <c r="BW400" s="459"/>
      <c r="BX400" s="459"/>
      <c r="BY400" s="459"/>
      <c r="BZ400" s="459"/>
      <c r="CA400" s="459"/>
      <c r="CB400" s="459"/>
      <c r="CC400" s="459"/>
    </row>
    <row r="401" spans="1:81" s="467" customFormat="1" x14ac:dyDescent="0.2">
      <c r="A401" s="472"/>
      <c r="C401" s="473"/>
      <c r="G401" s="474"/>
      <c r="H401" s="473"/>
      <c r="P401" s="459"/>
      <c r="Q401" s="459"/>
      <c r="R401" s="459"/>
      <c r="S401" s="459"/>
      <c r="T401" s="459"/>
      <c r="U401" s="459"/>
      <c r="V401" s="459"/>
      <c r="W401" s="459"/>
      <c r="X401" s="459"/>
      <c r="Y401" s="459"/>
      <c r="Z401" s="459"/>
      <c r="AA401" s="459"/>
      <c r="AB401" s="459"/>
      <c r="AC401" s="459"/>
      <c r="AD401" s="459"/>
      <c r="AE401" s="459"/>
      <c r="AF401" s="459"/>
      <c r="AG401" s="459"/>
      <c r="AH401" s="459"/>
      <c r="AI401" s="459"/>
      <c r="AJ401" s="459"/>
      <c r="AK401" s="459"/>
      <c r="AL401" s="459"/>
      <c r="AM401" s="459"/>
      <c r="AN401" s="459"/>
      <c r="AO401" s="459"/>
      <c r="AP401" s="459"/>
      <c r="AQ401" s="459"/>
      <c r="AR401" s="459"/>
      <c r="AS401" s="459"/>
      <c r="AT401" s="459"/>
      <c r="AU401" s="459"/>
      <c r="AV401" s="459"/>
      <c r="AW401" s="459"/>
      <c r="AX401" s="459"/>
      <c r="AY401" s="459"/>
      <c r="AZ401" s="459"/>
      <c r="BA401" s="459"/>
      <c r="BB401" s="459"/>
      <c r="BC401" s="459"/>
      <c r="BD401" s="459"/>
      <c r="BE401" s="459"/>
      <c r="BF401" s="459"/>
      <c r="BG401" s="459"/>
      <c r="BH401" s="459"/>
      <c r="BI401" s="459"/>
      <c r="BJ401" s="459"/>
      <c r="BK401" s="459"/>
      <c r="BL401" s="459"/>
      <c r="BM401" s="459"/>
      <c r="BN401" s="459"/>
      <c r="BO401" s="459"/>
      <c r="BP401" s="459"/>
      <c r="BQ401" s="459"/>
      <c r="BR401" s="459"/>
      <c r="BS401" s="459"/>
      <c r="BT401" s="459"/>
      <c r="BU401" s="459"/>
      <c r="BV401" s="459"/>
      <c r="BW401" s="459"/>
      <c r="BX401" s="459"/>
      <c r="BY401" s="459"/>
      <c r="BZ401" s="459"/>
      <c r="CA401" s="459"/>
      <c r="CB401" s="459"/>
      <c r="CC401" s="459"/>
    </row>
    <row r="402" spans="1:81" s="467" customFormat="1" x14ac:dyDescent="0.2">
      <c r="A402" s="472"/>
      <c r="C402" s="473"/>
      <c r="G402" s="474"/>
      <c r="H402" s="473"/>
      <c r="P402" s="459"/>
      <c r="Q402" s="459"/>
      <c r="R402" s="459"/>
      <c r="S402" s="459"/>
      <c r="T402" s="459"/>
      <c r="U402" s="459"/>
      <c r="V402" s="459"/>
      <c r="W402" s="459"/>
      <c r="X402" s="459"/>
      <c r="Y402" s="459"/>
      <c r="Z402" s="459"/>
      <c r="AA402" s="459"/>
      <c r="AB402" s="459"/>
      <c r="AC402" s="459"/>
      <c r="AD402" s="459"/>
      <c r="AE402" s="459"/>
      <c r="AF402" s="459"/>
      <c r="AG402" s="459"/>
      <c r="AH402" s="459"/>
      <c r="AI402" s="459"/>
      <c r="AJ402" s="459"/>
      <c r="AK402" s="459"/>
      <c r="AL402" s="459"/>
      <c r="AM402" s="459"/>
      <c r="AN402" s="459"/>
      <c r="AO402" s="459"/>
      <c r="AP402" s="459"/>
      <c r="AQ402" s="459"/>
      <c r="AR402" s="459"/>
      <c r="AS402" s="459"/>
      <c r="AT402" s="459"/>
      <c r="AU402" s="459"/>
      <c r="AV402" s="459"/>
      <c r="AW402" s="459"/>
      <c r="AX402" s="459"/>
      <c r="AY402" s="459"/>
      <c r="AZ402" s="459"/>
      <c r="BA402" s="459"/>
      <c r="BB402" s="459"/>
      <c r="BC402" s="459"/>
      <c r="BD402" s="459"/>
      <c r="BE402" s="459"/>
      <c r="BF402" s="459"/>
      <c r="BG402" s="459"/>
      <c r="BH402" s="459"/>
      <c r="BI402" s="459"/>
      <c r="BJ402" s="459"/>
      <c r="BK402" s="459"/>
      <c r="BL402" s="459"/>
      <c r="BM402" s="459"/>
      <c r="BN402" s="459"/>
      <c r="BO402" s="459"/>
      <c r="BP402" s="459"/>
      <c r="BQ402" s="459"/>
      <c r="BR402" s="459"/>
      <c r="BS402" s="459"/>
      <c r="BT402" s="459"/>
      <c r="BU402" s="459"/>
      <c r="BV402" s="459"/>
      <c r="BW402" s="459"/>
      <c r="BX402" s="459"/>
      <c r="BY402" s="459"/>
      <c r="BZ402" s="459"/>
      <c r="CA402" s="459"/>
      <c r="CB402" s="459"/>
      <c r="CC402" s="459"/>
    </row>
    <row r="403" spans="1:81" s="467" customFormat="1" x14ac:dyDescent="0.2">
      <c r="A403" s="472"/>
      <c r="C403" s="473"/>
      <c r="G403" s="474"/>
      <c r="H403" s="473"/>
      <c r="P403" s="459"/>
      <c r="Q403" s="459"/>
      <c r="R403" s="459"/>
      <c r="S403" s="459"/>
      <c r="T403" s="459"/>
      <c r="U403" s="459"/>
      <c r="V403" s="459"/>
      <c r="W403" s="459"/>
      <c r="X403" s="459"/>
      <c r="Y403" s="459"/>
      <c r="Z403" s="459"/>
      <c r="AA403" s="459"/>
      <c r="AB403" s="459"/>
      <c r="AC403" s="459"/>
      <c r="AD403" s="459"/>
      <c r="AE403" s="459"/>
      <c r="AF403" s="459"/>
      <c r="AG403" s="459"/>
      <c r="AH403" s="459"/>
      <c r="AI403" s="459"/>
      <c r="AJ403" s="459"/>
      <c r="AK403" s="459"/>
      <c r="AL403" s="459"/>
      <c r="AM403" s="459"/>
      <c r="AN403" s="459"/>
      <c r="AO403" s="459"/>
      <c r="AP403" s="459"/>
      <c r="AQ403" s="459"/>
      <c r="AR403" s="459"/>
      <c r="AS403" s="459"/>
      <c r="AT403" s="459"/>
      <c r="AU403" s="459"/>
      <c r="AV403" s="459"/>
      <c r="AW403" s="459"/>
      <c r="AX403" s="459"/>
      <c r="AY403" s="459"/>
      <c r="AZ403" s="459"/>
      <c r="BA403" s="459"/>
      <c r="BB403" s="459"/>
      <c r="BC403" s="459"/>
      <c r="BD403" s="459"/>
      <c r="BE403" s="459"/>
      <c r="BF403" s="459"/>
      <c r="BG403" s="459"/>
      <c r="BH403" s="459"/>
      <c r="BI403" s="459"/>
      <c r="BJ403" s="459"/>
      <c r="BK403" s="459"/>
      <c r="BL403" s="459"/>
      <c r="BM403" s="459"/>
      <c r="BN403" s="459"/>
      <c r="BO403" s="459"/>
      <c r="BP403" s="459"/>
      <c r="BQ403" s="459"/>
      <c r="BR403" s="459"/>
      <c r="BS403" s="459"/>
      <c r="BT403" s="459"/>
      <c r="BU403" s="459"/>
      <c r="BV403" s="459"/>
      <c r="BW403" s="459"/>
      <c r="BX403" s="459"/>
      <c r="BY403" s="459"/>
      <c r="BZ403" s="459"/>
      <c r="CA403" s="459"/>
      <c r="CB403" s="459"/>
      <c r="CC403" s="459"/>
    </row>
    <row r="404" spans="1:81" s="467" customFormat="1" x14ac:dyDescent="0.2">
      <c r="A404" s="472"/>
      <c r="C404" s="473"/>
      <c r="G404" s="474"/>
      <c r="H404" s="473"/>
      <c r="P404" s="459"/>
      <c r="Q404" s="459"/>
      <c r="R404" s="459"/>
      <c r="S404" s="459"/>
      <c r="T404" s="459"/>
      <c r="U404" s="459"/>
      <c r="V404" s="459"/>
      <c r="W404" s="459"/>
      <c r="X404" s="459"/>
      <c r="Y404" s="459"/>
      <c r="Z404" s="459"/>
      <c r="AA404" s="459"/>
      <c r="AB404" s="459"/>
      <c r="AC404" s="459"/>
      <c r="AD404" s="459"/>
      <c r="AE404" s="459"/>
      <c r="AF404" s="459"/>
      <c r="AG404" s="459"/>
      <c r="AH404" s="459"/>
      <c r="AI404" s="459"/>
      <c r="AJ404" s="459"/>
      <c r="AK404" s="459"/>
      <c r="AL404" s="459"/>
      <c r="AM404" s="459"/>
      <c r="AN404" s="459"/>
      <c r="AO404" s="459"/>
      <c r="AP404" s="459"/>
      <c r="AQ404" s="459"/>
      <c r="AR404" s="459"/>
      <c r="AS404" s="459"/>
      <c r="AT404" s="459"/>
      <c r="AU404" s="459"/>
      <c r="AV404" s="459"/>
      <c r="AW404" s="459"/>
      <c r="AX404" s="459"/>
      <c r="AY404" s="459"/>
      <c r="AZ404" s="459"/>
      <c r="BA404" s="459"/>
      <c r="BB404" s="459"/>
      <c r="BC404" s="459"/>
      <c r="BD404" s="459"/>
      <c r="BE404" s="459"/>
      <c r="BF404" s="459"/>
      <c r="BG404" s="459"/>
      <c r="BH404" s="459"/>
      <c r="BI404" s="459"/>
      <c r="BJ404" s="459"/>
      <c r="BK404" s="459"/>
      <c r="BL404" s="459"/>
      <c r="BM404" s="459"/>
      <c r="BN404" s="459"/>
      <c r="BO404" s="459"/>
      <c r="BP404" s="459"/>
      <c r="BQ404" s="459"/>
      <c r="BR404" s="459"/>
      <c r="BS404" s="459"/>
      <c r="BT404" s="459"/>
      <c r="BU404" s="459"/>
      <c r="BV404" s="459"/>
      <c r="BW404" s="459"/>
      <c r="BX404" s="459"/>
      <c r="BY404" s="459"/>
      <c r="BZ404" s="459"/>
      <c r="CA404" s="459"/>
      <c r="CB404" s="459"/>
      <c r="CC404" s="459"/>
    </row>
    <row r="405" spans="1:81" s="467" customFormat="1" x14ac:dyDescent="0.2">
      <c r="A405" s="472"/>
      <c r="C405" s="473"/>
      <c r="G405" s="474"/>
      <c r="H405" s="473"/>
      <c r="P405" s="459"/>
      <c r="Q405" s="459"/>
      <c r="R405" s="459"/>
      <c r="S405" s="459"/>
      <c r="T405" s="459"/>
      <c r="U405" s="459"/>
      <c r="V405" s="459"/>
      <c r="W405" s="459"/>
      <c r="X405" s="459"/>
      <c r="Y405" s="459"/>
      <c r="Z405" s="459"/>
      <c r="AA405" s="459"/>
      <c r="AB405" s="459"/>
      <c r="AC405" s="459"/>
      <c r="AD405" s="459"/>
      <c r="AE405" s="459"/>
      <c r="AF405" s="459"/>
      <c r="AG405" s="459"/>
      <c r="AH405" s="459"/>
      <c r="AI405" s="459"/>
      <c r="AJ405" s="459"/>
      <c r="AK405" s="459"/>
      <c r="AL405" s="459"/>
      <c r="AM405" s="459"/>
      <c r="AN405" s="459"/>
      <c r="AO405" s="459"/>
      <c r="AP405" s="459"/>
      <c r="AQ405" s="459"/>
      <c r="AR405" s="459"/>
      <c r="AS405" s="459"/>
      <c r="AT405" s="459"/>
      <c r="AU405" s="459"/>
      <c r="AV405" s="459"/>
      <c r="AW405" s="459"/>
      <c r="AX405" s="459"/>
      <c r="AY405" s="459"/>
      <c r="AZ405" s="459"/>
      <c r="BA405" s="459"/>
      <c r="BB405" s="459"/>
      <c r="BC405" s="459"/>
      <c r="BD405" s="459"/>
      <c r="BE405" s="459"/>
      <c r="BF405" s="459"/>
      <c r="BG405" s="459"/>
      <c r="BH405" s="459"/>
      <c r="BI405" s="459"/>
      <c r="BJ405" s="459"/>
      <c r="BK405" s="459"/>
      <c r="BL405" s="459"/>
      <c r="BM405" s="459"/>
      <c r="BN405" s="459"/>
      <c r="BO405" s="459"/>
      <c r="BP405" s="459"/>
      <c r="BQ405" s="459"/>
      <c r="BR405" s="459"/>
      <c r="BS405" s="459"/>
      <c r="BT405" s="459"/>
      <c r="BU405" s="459"/>
      <c r="BV405" s="459"/>
      <c r="BW405" s="459"/>
      <c r="BX405" s="459"/>
      <c r="BY405" s="459"/>
      <c r="BZ405" s="459"/>
      <c r="CA405" s="459"/>
      <c r="CB405" s="459"/>
      <c r="CC405" s="459"/>
    </row>
    <row r="406" spans="1:81" s="467" customFormat="1" x14ac:dyDescent="0.2">
      <c r="A406" s="472"/>
      <c r="C406" s="473"/>
      <c r="G406" s="474"/>
      <c r="H406" s="473"/>
      <c r="P406" s="459"/>
      <c r="Q406" s="459"/>
      <c r="R406" s="459"/>
      <c r="S406" s="459"/>
      <c r="T406" s="459"/>
      <c r="U406" s="459"/>
      <c r="V406" s="459"/>
      <c r="W406" s="459"/>
      <c r="X406" s="459"/>
      <c r="Y406" s="459"/>
      <c r="Z406" s="459"/>
      <c r="AA406" s="459"/>
      <c r="AB406" s="459"/>
      <c r="AC406" s="459"/>
      <c r="AD406" s="459"/>
      <c r="AE406" s="459"/>
      <c r="AF406" s="459"/>
      <c r="AG406" s="459"/>
      <c r="AH406" s="459"/>
      <c r="AI406" s="459"/>
      <c r="AJ406" s="459"/>
      <c r="AK406" s="459"/>
      <c r="AL406" s="459"/>
      <c r="AM406" s="459"/>
      <c r="AN406" s="459"/>
      <c r="AO406" s="459"/>
      <c r="AP406" s="459"/>
      <c r="AQ406" s="459"/>
      <c r="AR406" s="459"/>
      <c r="AS406" s="459"/>
      <c r="AT406" s="459"/>
      <c r="AU406" s="459"/>
      <c r="AV406" s="459"/>
      <c r="AW406" s="459"/>
      <c r="AX406" s="459"/>
      <c r="AY406" s="459"/>
      <c r="AZ406" s="459"/>
      <c r="BA406" s="459"/>
      <c r="BB406" s="459"/>
      <c r="BC406" s="459"/>
      <c r="BD406" s="459"/>
      <c r="BE406" s="459"/>
      <c r="BF406" s="459"/>
      <c r="BG406" s="459"/>
      <c r="BH406" s="459"/>
      <c r="BI406" s="459"/>
      <c r="BJ406" s="459"/>
      <c r="BK406" s="459"/>
      <c r="BL406" s="459"/>
      <c r="BM406" s="459"/>
      <c r="BN406" s="459"/>
      <c r="BO406" s="459"/>
      <c r="BP406" s="459"/>
      <c r="BQ406" s="459"/>
      <c r="BR406" s="459"/>
      <c r="BS406" s="459"/>
      <c r="BT406" s="459"/>
      <c r="BU406" s="459"/>
      <c r="BV406" s="459"/>
      <c r="BW406" s="459"/>
      <c r="BX406" s="459"/>
      <c r="BY406" s="459"/>
      <c r="BZ406" s="459"/>
      <c r="CA406" s="459"/>
      <c r="CB406" s="459"/>
      <c r="CC406" s="459"/>
    </row>
    <row r="407" spans="1:81" s="467" customFormat="1" x14ac:dyDescent="0.2">
      <c r="A407" s="472"/>
      <c r="C407" s="473"/>
      <c r="G407" s="474"/>
      <c r="H407" s="473"/>
      <c r="P407" s="459"/>
      <c r="Q407" s="459"/>
      <c r="R407" s="459"/>
      <c r="S407" s="459"/>
      <c r="T407" s="459"/>
      <c r="U407" s="459"/>
      <c r="V407" s="459"/>
      <c r="W407" s="459"/>
      <c r="X407" s="459"/>
      <c r="Y407" s="459"/>
      <c r="Z407" s="459"/>
      <c r="AA407" s="459"/>
      <c r="AB407" s="459"/>
      <c r="AC407" s="459"/>
      <c r="AD407" s="459"/>
      <c r="AE407" s="459"/>
      <c r="AF407" s="459"/>
      <c r="AG407" s="459"/>
      <c r="AH407" s="459"/>
      <c r="AI407" s="459"/>
      <c r="AJ407" s="459"/>
      <c r="AK407" s="459"/>
      <c r="AL407" s="459"/>
      <c r="AM407" s="459"/>
      <c r="AN407" s="459"/>
      <c r="AO407" s="459"/>
      <c r="AP407" s="459"/>
      <c r="AQ407" s="459"/>
      <c r="AR407" s="459"/>
      <c r="AS407" s="459"/>
      <c r="AT407" s="459"/>
      <c r="AU407" s="459"/>
      <c r="AV407" s="459"/>
      <c r="AW407" s="459"/>
      <c r="AX407" s="459"/>
      <c r="AY407" s="459"/>
      <c r="AZ407" s="459"/>
      <c r="BA407" s="459"/>
      <c r="BB407" s="459"/>
      <c r="BC407" s="459"/>
      <c r="BD407" s="459"/>
      <c r="BE407" s="459"/>
      <c r="BF407" s="459"/>
      <c r="BG407" s="459"/>
      <c r="BH407" s="459"/>
      <c r="BI407" s="459"/>
      <c r="BJ407" s="459"/>
      <c r="BK407" s="459"/>
      <c r="BL407" s="459"/>
      <c r="BM407" s="459"/>
      <c r="BN407" s="459"/>
      <c r="BO407" s="459"/>
      <c r="BP407" s="459"/>
      <c r="BQ407" s="459"/>
      <c r="BR407" s="459"/>
      <c r="BS407" s="459"/>
      <c r="BT407" s="459"/>
      <c r="BU407" s="459"/>
      <c r="BV407" s="459"/>
      <c r="BW407" s="459"/>
      <c r="BX407" s="459"/>
      <c r="BY407" s="459"/>
      <c r="BZ407" s="459"/>
      <c r="CA407" s="459"/>
      <c r="CB407" s="459"/>
      <c r="CC407" s="459"/>
    </row>
    <row r="408" spans="1:81" s="467" customFormat="1" x14ac:dyDescent="0.2">
      <c r="A408" s="472"/>
      <c r="C408" s="473"/>
      <c r="G408" s="474"/>
      <c r="H408" s="473"/>
      <c r="P408" s="459"/>
      <c r="Q408" s="459"/>
      <c r="R408" s="459"/>
      <c r="S408" s="459"/>
      <c r="T408" s="459"/>
      <c r="U408" s="459"/>
      <c r="V408" s="459"/>
      <c r="W408" s="459"/>
      <c r="X408" s="459"/>
      <c r="Y408" s="459"/>
      <c r="Z408" s="459"/>
      <c r="AA408" s="459"/>
      <c r="AB408" s="459"/>
      <c r="AC408" s="459"/>
      <c r="AD408" s="459"/>
      <c r="AE408" s="459"/>
      <c r="AF408" s="459"/>
      <c r="AG408" s="459"/>
      <c r="AH408" s="459"/>
      <c r="AI408" s="459"/>
      <c r="AJ408" s="459"/>
      <c r="AK408" s="459"/>
      <c r="AL408" s="459"/>
      <c r="AM408" s="459"/>
      <c r="AN408" s="459"/>
      <c r="AO408" s="459"/>
      <c r="AP408" s="459"/>
      <c r="AQ408" s="459"/>
      <c r="AR408" s="459"/>
      <c r="AS408" s="459"/>
      <c r="AT408" s="459"/>
      <c r="AU408" s="459"/>
      <c r="AV408" s="459"/>
      <c r="AW408" s="459"/>
      <c r="AX408" s="459"/>
      <c r="AY408" s="459"/>
      <c r="AZ408" s="459"/>
      <c r="BA408" s="459"/>
      <c r="BB408" s="459"/>
      <c r="BC408" s="459"/>
      <c r="BD408" s="459"/>
      <c r="BE408" s="459"/>
      <c r="BF408" s="459"/>
      <c r="BG408" s="459"/>
      <c r="BH408" s="459"/>
      <c r="BI408" s="459"/>
      <c r="BJ408" s="459"/>
      <c r="BK408" s="459"/>
      <c r="BL408" s="459"/>
      <c r="BM408" s="459"/>
      <c r="BN408" s="459"/>
      <c r="BO408" s="459"/>
      <c r="BP408" s="459"/>
      <c r="BQ408" s="459"/>
      <c r="BR408" s="459"/>
      <c r="BS408" s="459"/>
      <c r="BT408" s="459"/>
      <c r="BU408" s="459"/>
      <c r="BV408" s="459"/>
      <c r="BW408" s="459"/>
      <c r="BX408" s="459"/>
      <c r="BY408" s="459"/>
      <c r="BZ408" s="459"/>
      <c r="CA408" s="459"/>
      <c r="CB408" s="459"/>
      <c r="CC408" s="459"/>
    </row>
    <row r="409" spans="1:81" s="467" customFormat="1" x14ac:dyDescent="0.2">
      <c r="A409" s="472"/>
      <c r="C409" s="473"/>
      <c r="G409" s="474"/>
      <c r="H409" s="473"/>
      <c r="P409" s="459"/>
      <c r="Q409" s="459"/>
      <c r="R409" s="459"/>
      <c r="S409" s="459"/>
      <c r="T409" s="459"/>
      <c r="U409" s="459"/>
      <c r="V409" s="459"/>
      <c r="W409" s="459"/>
      <c r="X409" s="459"/>
      <c r="Y409" s="459"/>
      <c r="Z409" s="459"/>
      <c r="AA409" s="459"/>
      <c r="AB409" s="459"/>
      <c r="AC409" s="459"/>
      <c r="AD409" s="459"/>
      <c r="AE409" s="459"/>
      <c r="AF409" s="459"/>
      <c r="AG409" s="459"/>
      <c r="AH409" s="459"/>
      <c r="AI409" s="459"/>
      <c r="AJ409" s="459"/>
      <c r="AK409" s="459"/>
      <c r="AL409" s="459"/>
      <c r="AM409" s="459"/>
      <c r="AN409" s="459"/>
      <c r="AO409" s="459"/>
      <c r="AP409" s="459"/>
      <c r="AQ409" s="459"/>
      <c r="AR409" s="459"/>
      <c r="AS409" s="459"/>
      <c r="AT409" s="459"/>
      <c r="AU409" s="459"/>
      <c r="AV409" s="459"/>
      <c r="AW409" s="459"/>
      <c r="AX409" s="459"/>
      <c r="AY409" s="459"/>
      <c r="AZ409" s="459"/>
      <c r="BA409" s="459"/>
      <c r="BB409" s="459"/>
      <c r="BC409" s="459"/>
      <c r="BD409" s="459"/>
      <c r="BE409" s="459"/>
      <c r="BF409" s="459"/>
      <c r="BG409" s="459"/>
      <c r="BH409" s="459"/>
      <c r="BI409" s="459"/>
      <c r="BJ409" s="459"/>
      <c r="BK409" s="459"/>
      <c r="BL409" s="459"/>
      <c r="BM409" s="459"/>
      <c r="BN409" s="459"/>
      <c r="BO409" s="459"/>
      <c r="BP409" s="459"/>
      <c r="BQ409" s="459"/>
      <c r="BR409" s="459"/>
      <c r="BS409" s="459"/>
      <c r="BT409" s="459"/>
      <c r="BU409" s="459"/>
      <c r="BV409" s="459"/>
      <c r="BW409" s="459"/>
      <c r="BX409" s="459"/>
      <c r="BY409" s="459"/>
      <c r="BZ409" s="459"/>
      <c r="CA409" s="459"/>
      <c r="CB409" s="459"/>
      <c r="CC409" s="459"/>
    </row>
    <row r="410" spans="1:81" s="467" customFormat="1" x14ac:dyDescent="0.2">
      <c r="A410" s="472"/>
      <c r="C410" s="473"/>
      <c r="G410" s="474"/>
      <c r="H410" s="473"/>
      <c r="P410" s="459"/>
      <c r="Q410" s="459"/>
      <c r="R410" s="459"/>
      <c r="S410" s="459"/>
      <c r="T410" s="459"/>
      <c r="U410" s="459"/>
      <c r="V410" s="459"/>
      <c r="W410" s="459"/>
      <c r="X410" s="459"/>
      <c r="Y410" s="459"/>
      <c r="Z410" s="459"/>
      <c r="AA410" s="459"/>
      <c r="AB410" s="459"/>
      <c r="AC410" s="459"/>
      <c r="AD410" s="459"/>
      <c r="AE410" s="459"/>
      <c r="AF410" s="459"/>
      <c r="AG410" s="459"/>
      <c r="AH410" s="459"/>
      <c r="AI410" s="459"/>
      <c r="AJ410" s="459"/>
      <c r="AK410" s="459"/>
      <c r="AL410" s="459"/>
      <c r="AM410" s="459"/>
      <c r="AN410" s="459"/>
      <c r="AO410" s="459"/>
      <c r="AP410" s="459"/>
      <c r="AQ410" s="459"/>
      <c r="AR410" s="459"/>
      <c r="AS410" s="459"/>
      <c r="AT410" s="459"/>
      <c r="AU410" s="459"/>
      <c r="AV410" s="459"/>
      <c r="AW410" s="459"/>
      <c r="AX410" s="459"/>
      <c r="AY410" s="459"/>
      <c r="AZ410" s="459"/>
      <c r="BA410" s="459"/>
      <c r="BB410" s="459"/>
      <c r="BC410" s="459"/>
      <c r="BD410" s="459"/>
      <c r="BE410" s="459"/>
      <c r="BF410" s="459"/>
      <c r="BG410" s="459"/>
      <c r="BH410" s="459"/>
      <c r="BI410" s="459"/>
      <c r="BJ410" s="459"/>
      <c r="BK410" s="459"/>
      <c r="BL410" s="459"/>
      <c r="BM410" s="459"/>
      <c r="BN410" s="459"/>
      <c r="BO410" s="459"/>
      <c r="BP410" s="459"/>
      <c r="BQ410" s="459"/>
      <c r="BR410" s="459"/>
      <c r="BS410" s="459"/>
      <c r="BT410" s="459"/>
      <c r="BU410" s="459"/>
      <c r="BV410" s="459"/>
      <c r="BW410" s="459"/>
      <c r="BX410" s="459"/>
      <c r="BY410" s="459"/>
      <c r="BZ410" s="459"/>
      <c r="CA410" s="459"/>
      <c r="CB410" s="459"/>
      <c r="CC410" s="459"/>
    </row>
    <row r="411" spans="1:81" s="467" customFormat="1" x14ac:dyDescent="0.2">
      <c r="A411" s="472"/>
      <c r="C411" s="473"/>
      <c r="G411" s="474"/>
      <c r="H411" s="473"/>
      <c r="P411" s="459"/>
      <c r="Q411" s="459"/>
      <c r="R411" s="459"/>
      <c r="S411" s="459"/>
      <c r="T411" s="459"/>
      <c r="U411" s="459"/>
      <c r="V411" s="459"/>
      <c r="W411" s="459"/>
      <c r="X411" s="459"/>
      <c r="Y411" s="459"/>
      <c r="Z411" s="459"/>
      <c r="AA411" s="459"/>
      <c r="AB411" s="459"/>
      <c r="AC411" s="459"/>
      <c r="AD411" s="459"/>
      <c r="AE411" s="459"/>
      <c r="AF411" s="459"/>
      <c r="AG411" s="459"/>
      <c r="AH411" s="459"/>
      <c r="AI411" s="459"/>
      <c r="AJ411" s="459"/>
      <c r="AK411" s="459"/>
      <c r="AL411" s="459"/>
      <c r="AM411" s="459"/>
      <c r="AN411" s="459"/>
      <c r="AO411" s="459"/>
      <c r="AP411" s="459"/>
      <c r="AQ411" s="459"/>
      <c r="AR411" s="459"/>
      <c r="AS411" s="459"/>
      <c r="AT411" s="459"/>
      <c r="AU411" s="459"/>
      <c r="AV411" s="459"/>
      <c r="AW411" s="459"/>
      <c r="AX411" s="459"/>
      <c r="AY411" s="459"/>
      <c r="AZ411" s="459"/>
      <c r="BA411" s="459"/>
      <c r="BB411" s="459"/>
      <c r="BC411" s="459"/>
      <c r="BD411" s="459"/>
      <c r="BE411" s="459"/>
      <c r="BF411" s="459"/>
      <c r="BG411" s="459"/>
      <c r="BH411" s="459"/>
      <c r="BI411" s="459"/>
      <c r="BJ411" s="459"/>
      <c r="BK411" s="459"/>
      <c r="BL411" s="459"/>
      <c r="BM411" s="459"/>
      <c r="BN411" s="459"/>
      <c r="BO411" s="459"/>
      <c r="BP411" s="459"/>
      <c r="BQ411" s="459"/>
      <c r="BR411" s="459"/>
      <c r="BS411" s="459"/>
      <c r="BT411" s="459"/>
      <c r="BU411" s="459"/>
      <c r="BV411" s="459"/>
      <c r="BW411" s="459"/>
      <c r="BX411" s="459"/>
      <c r="BY411" s="459"/>
      <c r="BZ411" s="459"/>
      <c r="CA411" s="459"/>
      <c r="CB411" s="459"/>
      <c r="CC411" s="459"/>
    </row>
    <row r="412" spans="1:81" s="467" customFormat="1" x14ac:dyDescent="0.2">
      <c r="A412" s="472"/>
      <c r="C412" s="473"/>
      <c r="G412" s="474"/>
      <c r="H412" s="473"/>
      <c r="P412" s="459"/>
      <c r="Q412" s="459"/>
      <c r="R412" s="459"/>
      <c r="S412" s="459"/>
      <c r="T412" s="459"/>
      <c r="U412" s="459"/>
      <c r="V412" s="459"/>
      <c r="W412" s="459"/>
      <c r="X412" s="459"/>
      <c r="Y412" s="459"/>
      <c r="Z412" s="459"/>
      <c r="AA412" s="459"/>
      <c r="AB412" s="459"/>
      <c r="AC412" s="459"/>
      <c r="AD412" s="459"/>
      <c r="AE412" s="459"/>
      <c r="AF412" s="459"/>
      <c r="AG412" s="459"/>
      <c r="AH412" s="459"/>
      <c r="AI412" s="459"/>
      <c r="AJ412" s="459"/>
      <c r="AK412" s="459"/>
      <c r="AL412" s="459"/>
      <c r="AM412" s="459"/>
      <c r="AN412" s="459"/>
      <c r="AO412" s="459"/>
      <c r="AP412" s="459"/>
      <c r="AQ412" s="459"/>
      <c r="AR412" s="459"/>
      <c r="AS412" s="459"/>
      <c r="AT412" s="459"/>
      <c r="AU412" s="459"/>
      <c r="AV412" s="459"/>
      <c r="AW412" s="459"/>
      <c r="AX412" s="459"/>
      <c r="AY412" s="459"/>
      <c r="AZ412" s="459"/>
      <c r="BA412" s="459"/>
      <c r="BB412" s="459"/>
      <c r="BC412" s="459"/>
      <c r="BD412" s="459"/>
      <c r="BE412" s="459"/>
      <c r="BF412" s="459"/>
      <c r="BG412" s="459"/>
      <c r="BH412" s="459"/>
      <c r="BI412" s="459"/>
      <c r="BJ412" s="459"/>
      <c r="BK412" s="459"/>
      <c r="BL412" s="459"/>
      <c r="BM412" s="459"/>
      <c r="BN412" s="459"/>
      <c r="BO412" s="459"/>
      <c r="BP412" s="459"/>
      <c r="BQ412" s="459"/>
      <c r="BR412" s="459"/>
      <c r="BS412" s="459"/>
      <c r="BT412" s="459"/>
      <c r="BU412" s="459"/>
      <c r="BV412" s="459"/>
      <c r="BW412" s="459"/>
      <c r="BX412" s="459"/>
      <c r="BY412" s="459"/>
      <c r="BZ412" s="459"/>
      <c r="CA412" s="459"/>
      <c r="CB412" s="459"/>
      <c r="CC412" s="459"/>
    </row>
    <row r="413" spans="1:81" s="467" customFormat="1" x14ac:dyDescent="0.2">
      <c r="A413" s="472"/>
      <c r="C413" s="473"/>
      <c r="G413" s="474"/>
      <c r="H413" s="473"/>
      <c r="P413" s="459"/>
      <c r="Q413" s="459"/>
      <c r="R413" s="459"/>
      <c r="S413" s="459"/>
      <c r="T413" s="459"/>
      <c r="U413" s="459"/>
      <c r="V413" s="459"/>
      <c r="W413" s="459"/>
      <c r="X413" s="459"/>
      <c r="Y413" s="459"/>
      <c r="Z413" s="459"/>
      <c r="AA413" s="459"/>
      <c r="AB413" s="459"/>
      <c r="AC413" s="459"/>
      <c r="AD413" s="459"/>
      <c r="AE413" s="459"/>
      <c r="AF413" s="459"/>
      <c r="AG413" s="459"/>
      <c r="AH413" s="459"/>
      <c r="AI413" s="459"/>
      <c r="AJ413" s="459"/>
      <c r="AK413" s="459"/>
      <c r="AL413" s="459"/>
      <c r="AM413" s="459"/>
      <c r="AN413" s="459"/>
      <c r="AO413" s="459"/>
      <c r="AP413" s="459"/>
      <c r="AQ413" s="459"/>
      <c r="AR413" s="459"/>
      <c r="AS413" s="459"/>
      <c r="AT413" s="459"/>
      <c r="AU413" s="459"/>
      <c r="AV413" s="459"/>
      <c r="AW413" s="459"/>
      <c r="AX413" s="459"/>
      <c r="AY413" s="459"/>
      <c r="AZ413" s="459"/>
      <c r="BA413" s="459"/>
      <c r="BB413" s="459"/>
      <c r="BC413" s="459"/>
      <c r="BD413" s="459"/>
      <c r="BE413" s="459"/>
      <c r="BF413" s="459"/>
      <c r="BG413" s="459"/>
      <c r="BH413" s="459"/>
      <c r="BI413" s="459"/>
      <c r="BJ413" s="459"/>
      <c r="BK413" s="459"/>
      <c r="BL413" s="459"/>
      <c r="BM413" s="459"/>
      <c r="BN413" s="459"/>
      <c r="BO413" s="459"/>
      <c r="BP413" s="459"/>
      <c r="BQ413" s="459"/>
      <c r="BR413" s="459"/>
      <c r="BS413" s="459"/>
      <c r="BT413" s="459"/>
      <c r="BU413" s="459"/>
      <c r="BV413" s="459"/>
      <c r="BW413" s="459"/>
      <c r="BX413" s="459"/>
      <c r="BY413" s="459"/>
      <c r="BZ413" s="459"/>
      <c r="CA413" s="459"/>
      <c r="CB413" s="459"/>
      <c r="CC413" s="459"/>
    </row>
    <row r="414" spans="1:81" s="467" customFormat="1" x14ac:dyDescent="0.2">
      <c r="A414" s="472"/>
      <c r="C414" s="473"/>
      <c r="G414" s="474"/>
      <c r="H414" s="473"/>
      <c r="P414" s="459"/>
      <c r="Q414" s="459"/>
      <c r="R414" s="459"/>
      <c r="S414" s="459"/>
      <c r="T414" s="459"/>
      <c r="U414" s="459"/>
      <c r="V414" s="459"/>
      <c r="W414" s="459"/>
      <c r="X414" s="459"/>
      <c r="Y414" s="459"/>
      <c r="Z414" s="459"/>
      <c r="AA414" s="459"/>
      <c r="AB414" s="459"/>
      <c r="AC414" s="459"/>
      <c r="AD414" s="459"/>
      <c r="AE414" s="459"/>
      <c r="AF414" s="459"/>
      <c r="AG414" s="459"/>
      <c r="AH414" s="459"/>
      <c r="AI414" s="459"/>
      <c r="AJ414" s="459"/>
      <c r="AK414" s="459"/>
      <c r="AL414" s="459"/>
      <c r="AM414" s="459"/>
      <c r="AN414" s="459"/>
      <c r="AO414" s="459"/>
      <c r="AP414" s="459"/>
      <c r="AQ414" s="459"/>
      <c r="AR414" s="459"/>
      <c r="AS414" s="459"/>
      <c r="AT414" s="459"/>
      <c r="AU414" s="459"/>
      <c r="AV414" s="459"/>
      <c r="AW414" s="459"/>
      <c r="AX414" s="459"/>
      <c r="AY414" s="459"/>
      <c r="AZ414" s="459"/>
      <c r="BA414" s="459"/>
      <c r="BB414" s="459"/>
      <c r="BC414" s="459"/>
      <c r="BD414" s="459"/>
      <c r="BE414" s="459"/>
      <c r="BF414" s="459"/>
      <c r="BG414" s="459"/>
      <c r="BH414" s="459"/>
      <c r="BI414" s="459"/>
      <c r="BJ414" s="459"/>
      <c r="BK414" s="459"/>
      <c r="BL414" s="459"/>
      <c r="BM414" s="459"/>
      <c r="BN414" s="459"/>
      <c r="BO414" s="459"/>
      <c r="BP414" s="459"/>
      <c r="BQ414" s="459"/>
      <c r="BR414" s="459"/>
      <c r="BS414" s="459"/>
      <c r="BT414" s="459"/>
      <c r="BU414" s="459"/>
      <c r="BV414" s="459"/>
      <c r="BW414" s="459"/>
      <c r="BX414" s="459"/>
      <c r="BY414" s="459"/>
      <c r="BZ414" s="459"/>
      <c r="CA414" s="459"/>
      <c r="CB414" s="459"/>
      <c r="CC414" s="459"/>
    </row>
    <row r="415" spans="1:81" s="467" customFormat="1" x14ac:dyDescent="0.2">
      <c r="A415" s="472"/>
      <c r="C415" s="473"/>
      <c r="G415" s="474"/>
      <c r="H415" s="473"/>
      <c r="P415" s="459"/>
      <c r="Q415" s="459"/>
      <c r="R415" s="459"/>
      <c r="S415" s="459"/>
      <c r="T415" s="459"/>
      <c r="U415" s="459"/>
      <c r="V415" s="459"/>
      <c r="W415" s="459"/>
      <c r="X415" s="459"/>
      <c r="Y415" s="459"/>
      <c r="Z415" s="459"/>
      <c r="AA415" s="459"/>
      <c r="AB415" s="459"/>
      <c r="AC415" s="459"/>
      <c r="AD415" s="459"/>
      <c r="AE415" s="459"/>
      <c r="AF415" s="459"/>
      <c r="AG415" s="459"/>
      <c r="AH415" s="459"/>
      <c r="AI415" s="459"/>
      <c r="AJ415" s="459"/>
      <c r="AK415" s="459"/>
      <c r="AL415" s="459"/>
      <c r="AM415" s="459"/>
      <c r="AN415" s="459"/>
      <c r="AO415" s="459"/>
      <c r="AP415" s="459"/>
      <c r="AQ415" s="459"/>
      <c r="AR415" s="459"/>
      <c r="AS415" s="459"/>
      <c r="AT415" s="459"/>
      <c r="AU415" s="459"/>
      <c r="AV415" s="459"/>
      <c r="AW415" s="459"/>
      <c r="AX415" s="459"/>
      <c r="AY415" s="459"/>
      <c r="AZ415" s="459"/>
      <c r="BA415" s="459"/>
      <c r="BB415" s="459"/>
      <c r="BC415" s="459"/>
      <c r="BD415" s="459"/>
      <c r="BE415" s="459"/>
      <c r="BF415" s="459"/>
      <c r="BG415" s="459"/>
      <c r="BH415" s="459"/>
      <c r="BI415" s="459"/>
      <c r="BJ415" s="459"/>
      <c r="BK415" s="459"/>
      <c r="BL415" s="459"/>
      <c r="BM415" s="459"/>
      <c r="BN415" s="459"/>
      <c r="BO415" s="459"/>
      <c r="BP415" s="459"/>
      <c r="BQ415" s="459"/>
      <c r="BR415" s="459"/>
      <c r="BS415" s="459"/>
      <c r="BT415" s="459"/>
      <c r="BU415" s="459"/>
      <c r="BV415" s="459"/>
      <c r="BW415" s="459"/>
      <c r="BX415" s="459"/>
      <c r="BY415" s="459"/>
      <c r="BZ415" s="459"/>
      <c r="CA415" s="459"/>
      <c r="CB415" s="459"/>
      <c r="CC415" s="459"/>
    </row>
    <row r="416" spans="1:81" s="467" customFormat="1" x14ac:dyDescent="0.2">
      <c r="A416" s="472"/>
      <c r="C416" s="473"/>
      <c r="G416" s="474"/>
      <c r="H416" s="473"/>
      <c r="P416" s="459"/>
      <c r="Q416" s="459"/>
      <c r="R416" s="459"/>
      <c r="S416" s="459"/>
      <c r="T416" s="459"/>
      <c r="U416" s="459"/>
      <c r="V416" s="459"/>
      <c r="W416" s="459"/>
      <c r="X416" s="459"/>
      <c r="Y416" s="459"/>
      <c r="Z416" s="459"/>
      <c r="AA416" s="459"/>
      <c r="AB416" s="459"/>
      <c r="AC416" s="459"/>
      <c r="AD416" s="459"/>
      <c r="AE416" s="459"/>
      <c r="AF416" s="459"/>
      <c r="AG416" s="459"/>
      <c r="AH416" s="459"/>
      <c r="AI416" s="459"/>
      <c r="AJ416" s="459"/>
      <c r="AK416" s="459"/>
      <c r="AL416" s="459"/>
      <c r="AM416" s="459"/>
      <c r="AN416" s="459"/>
      <c r="AO416" s="459"/>
      <c r="AP416" s="459"/>
      <c r="AQ416" s="459"/>
      <c r="AR416" s="459"/>
      <c r="AS416" s="459"/>
      <c r="AT416" s="459"/>
      <c r="AU416" s="459"/>
      <c r="AV416" s="459"/>
      <c r="AW416" s="459"/>
      <c r="AX416" s="459"/>
      <c r="AY416" s="459"/>
      <c r="AZ416" s="459"/>
      <c r="BA416" s="459"/>
      <c r="BB416" s="459"/>
      <c r="BC416" s="459"/>
      <c r="BD416" s="459"/>
      <c r="BE416" s="459"/>
      <c r="BF416" s="459"/>
      <c r="BG416" s="459"/>
      <c r="BH416" s="459"/>
      <c r="BI416" s="459"/>
      <c r="BJ416" s="459"/>
      <c r="BK416" s="459"/>
      <c r="BL416" s="459"/>
      <c r="BM416" s="459"/>
      <c r="BN416" s="459"/>
      <c r="BO416" s="459"/>
      <c r="BP416" s="459"/>
      <c r="BQ416" s="459"/>
      <c r="BR416" s="459"/>
      <c r="BS416" s="459"/>
      <c r="BT416" s="459"/>
      <c r="BU416" s="459"/>
      <c r="BV416" s="459"/>
      <c r="BW416" s="459"/>
      <c r="BX416" s="459"/>
      <c r="BY416" s="459"/>
      <c r="BZ416" s="459"/>
      <c r="CA416" s="459"/>
      <c r="CB416" s="459"/>
      <c r="CC416" s="459"/>
    </row>
    <row r="417" spans="1:81" s="467" customFormat="1" x14ac:dyDescent="0.2">
      <c r="A417" s="472"/>
      <c r="C417" s="473"/>
      <c r="G417" s="474"/>
      <c r="H417" s="473"/>
      <c r="P417" s="459"/>
      <c r="Q417" s="459"/>
      <c r="R417" s="459"/>
      <c r="S417" s="459"/>
      <c r="T417" s="459"/>
      <c r="U417" s="459"/>
      <c r="V417" s="459"/>
      <c r="W417" s="459"/>
      <c r="X417" s="459"/>
      <c r="Y417" s="459"/>
      <c r="Z417" s="459"/>
      <c r="AA417" s="459"/>
      <c r="AB417" s="459"/>
      <c r="AC417" s="459"/>
      <c r="AD417" s="459"/>
      <c r="AE417" s="459"/>
      <c r="AF417" s="459"/>
      <c r="AG417" s="459"/>
      <c r="AH417" s="459"/>
      <c r="AI417" s="459"/>
      <c r="AJ417" s="459"/>
      <c r="AK417" s="459"/>
      <c r="AL417" s="459"/>
      <c r="AM417" s="459"/>
      <c r="AN417" s="459"/>
      <c r="AO417" s="459"/>
      <c r="AP417" s="459"/>
      <c r="AQ417" s="459"/>
      <c r="AR417" s="459"/>
      <c r="AS417" s="459"/>
      <c r="AT417" s="459"/>
      <c r="AU417" s="459"/>
      <c r="AV417" s="459"/>
      <c r="AW417" s="459"/>
      <c r="AX417" s="459"/>
      <c r="AY417" s="459"/>
      <c r="AZ417" s="459"/>
      <c r="BA417" s="459"/>
      <c r="BB417" s="459"/>
      <c r="BC417" s="459"/>
      <c r="BD417" s="459"/>
      <c r="BE417" s="459"/>
      <c r="BF417" s="459"/>
      <c r="BG417" s="459"/>
      <c r="BH417" s="459"/>
      <c r="BI417" s="459"/>
      <c r="BJ417" s="459"/>
      <c r="BK417" s="459"/>
      <c r="BL417" s="459"/>
      <c r="BM417" s="459"/>
      <c r="BN417" s="459"/>
      <c r="BO417" s="459"/>
      <c r="BP417" s="459"/>
      <c r="BQ417" s="459"/>
      <c r="BR417" s="459"/>
      <c r="BS417" s="459"/>
      <c r="BT417" s="459"/>
      <c r="BU417" s="459"/>
      <c r="BV417" s="459"/>
      <c r="BW417" s="459"/>
      <c r="BX417" s="459"/>
      <c r="BY417" s="459"/>
      <c r="BZ417" s="459"/>
      <c r="CA417" s="459"/>
      <c r="CB417" s="459"/>
      <c r="CC417" s="459"/>
    </row>
    <row r="418" spans="1:81" s="467" customFormat="1" x14ac:dyDescent="0.2">
      <c r="A418" s="472"/>
      <c r="C418" s="473"/>
      <c r="G418" s="474"/>
      <c r="H418" s="473"/>
      <c r="P418" s="459"/>
      <c r="Q418" s="459"/>
      <c r="R418" s="459"/>
      <c r="S418" s="459"/>
      <c r="T418" s="459"/>
      <c r="U418" s="459"/>
      <c r="V418" s="459"/>
      <c r="W418" s="459"/>
      <c r="X418" s="459"/>
      <c r="Y418" s="459"/>
      <c r="Z418" s="459"/>
      <c r="AA418" s="459"/>
      <c r="AB418" s="459"/>
      <c r="AC418" s="459"/>
      <c r="AD418" s="459"/>
      <c r="AE418" s="459"/>
      <c r="AF418" s="459"/>
      <c r="AG418" s="459"/>
      <c r="AH418" s="459"/>
      <c r="AI418" s="459"/>
      <c r="AJ418" s="459"/>
      <c r="AK418" s="459"/>
      <c r="AL418" s="459"/>
      <c r="AM418" s="459"/>
      <c r="AN418" s="459"/>
      <c r="AO418" s="459"/>
      <c r="AP418" s="459"/>
      <c r="AQ418" s="459"/>
      <c r="AR418" s="459"/>
      <c r="AS418" s="459"/>
      <c r="AT418" s="459"/>
      <c r="AU418" s="459"/>
      <c r="AV418" s="459"/>
      <c r="AW418" s="459"/>
      <c r="AX418" s="459"/>
      <c r="AY418" s="459"/>
      <c r="AZ418" s="459"/>
      <c r="BA418" s="459"/>
      <c r="BB418" s="459"/>
      <c r="BC418" s="459"/>
      <c r="BD418" s="459"/>
      <c r="BE418" s="459"/>
      <c r="BF418" s="459"/>
      <c r="BG418" s="459"/>
      <c r="BH418" s="459"/>
      <c r="BI418" s="459"/>
      <c r="BJ418" s="459"/>
      <c r="BK418" s="459"/>
      <c r="BL418" s="459"/>
      <c r="BM418" s="459"/>
      <c r="BN418" s="459"/>
      <c r="BO418" s="459"/>
      <c r="BP418" s="459"/>
      <c r="BQ418" s="459"/>
      <c r="BR418" s="459"/>
      <c r="BS418" s="459"/>
      <c r="BT418" s="459"/>
      <c r="BU418" s="459"/>
      <c r="BV418" s="459"/>
      <c r="BW418" s="459"/>
      <c r="BX418" s="459"/>
      <c r="BY418" s="459"/>
      <c r="BZ418" s="459"/>
      <c r="CA418" s="459"/>
      <c r="CB418" s="459"/>
      <c r="CC418" s="459"/>
    </row>
  </sheetData>
  <autoFilter ref="A13:CD116" xr:uid="{00000000-0009-0000-0000-000000000000}">
    <filterColumn colId="13" showButton="0"/>
  </autoFilter>
  <mergeCells count="249">
    <mergeCell ref="N94:O94"/>
    <mergeCell ref="N95:O95"/>
    <mergeCell ref="N96:O96"/>
    <mergeCell ref="N97:O97"/>
    <mergeCell ref="F113:F114"/>
    <mergeCell ref="D113:D114"/>
    <mergeCell ref="C113:C114"/>
    <mergeCell ref="B113:B114"/>
    <mergeCell ref="A113:A114"/>
    <mergeCell ref="E110:E112"/>
    <mergeCell ref="N113:O114"/>
    <mergeCell ref="E113:E114"/>
    <mergeCell ref="E104:E106"/>
    <mergeCell ref="A107:A109"/>
    <mergeCell ref="A110:A112"/>
    <mergeCell ref="N101:O103"/>
    <mergeCell ref="N107:O109"/>
    <mergeCell ref="N110:O112"/>
    <mergeCell ref="C53:C55"/>
    <mergeCell ref="D53:D55"/>
    <mergeCell ref="E53:E55"/>
    <mergeCell ref="F53:F55"/>
    <mergeCell ref="F59:F61"/>
    <mergeCell ref="C65:C67"/>
    <mergeCell ref="N14:O16"/>
    <mergeCell ref="D14:D16"/>
    <mergeCell ref="E14:E16"/>
    <mergeCell ref="F23:F24"/>
    <mergeCell ref="F29:F30"/>
    <mergeCell ref="E31:E33"/>
    <mergeCell ref="D50:D52"/>
    <mergeCell ref="E50:E52"/>
    <mergeCell ref="N44:O46"/>
    <mergeCell ref="N47:O49"/>
    <mergeCell ref="N50:O52"/>
    <mergeCell ref="F50:F52"/>
    <mergeCell ref="F44:F46"/>
    <mergeCell ref="F31:F33"/>
    <mergeCell ref="E44:E46"/>
    <mergeCell ref="D44:D46"/>
    <mergeCell ref="C44:C46"/>
    <mergeCell ref="C38:C40"/>
    <mergeCell ref="I7:O7"/>
    <mergeCell ref="F8:F10"/>
    <mergeCell ref="G8:G10"/>
    <mergeCell ref="A7:E7"/>
    <mergeCell ref="F26:F28"/>
    <mergeCell ref="F62:F64"/>
    <mergeCell ref="F56:F58"/>
    <mergeCell ref="F47:F49"/>
    <mergeCell ref="F83:F86"/>
    <mergeCell ref="F65:F67"/>
    <mergeCell ref="F68:F70"/>
    <mergeCell ref="F74:F82"/>
    <mergeCell ref="N71:O73"/>
    <mergeCell ref="N74:O82"/>
    <mergeCell ref="N56:O58"/>
    <mergeCell ref="N59:O61"/>
    <mergeCell ref="N62:O64"/>
    <mergeCell ref="N65:O67"/>
    <mergeCell ref="N68:O70"/>
    <mergeCell ref="A38:A40"/>
    <mergeCell ref="A41:A43"/>
    <mergeCell ref="B41:B43"/>
    <mergeCell ref="D22:D25"/>
    <mergeCell ref="N53:O55"/>
    <mergeCell ref="N89:O89"/>
    <mergeCell ref="A87:A93"/>
    <mergeCell ref="B87:B93"/>
    <mergeCell ref="D87:D93"/>
    <mergeCell ref="E87:E93"/>
    <mergeCell ref="C87:C93"/>
    <mergeCell ref="A83:A86"/>
    <mergeCell ref="B83:B86"/>
    <mergeCell ref="D83:D86"/>
    <mergeCell ref="E83:E86"/>
    <mergeCell ref="C83:C86"/>
    <mergeCell ref="F90:F93"/>
    <mergeCell ref="N87:O87"/>
    <mergeCell ref="N88:O88"/>
    <mergeCell ref="N86:O86"/>
    <mergeCell ref="N83:O83"/>
    <mergeCell ref="N84:O84"/>
    <mergeCell ref="N85:O85"/>
    <mergeCell ref="N90:O90"/>
    <mergeCell ref="A74:A82"/>
    <mergeCell ref="B74:B82"/>
    <mergeCell ref="D74:D82"/>
    <mergeCell ref="C74:C82"/>
    <mergeCell ref="C22:C25"/>
    <mergeCell ref="A71:A73"/>
    <mergeCell ref="B71:B73"/>
    <mergeCell ref="D71:D73"/>
    <mergeCell ref="A34:A37"/>
    <mergeCell ref="C41:C43"/>
    <mergeCell ref="D41:D43"/>
    <mergeCell ref="A22:A25"/>
    <mergeCell ref="B22:B25"/>
    <mergeCell ref="A26:A30"/>
    <mergeCell ref="A53:A55"/>
    <mergeCell ref="A68:A70"/>
    <mergeCell ref="B68:B70"/>
    <mergeCell ref="D68:D70"/>
    <mergeCell ref="B26:B30"/>
    <mergeCell ref="B53:B55"/>
    <mergeCell ref="A50:A52"/>
    <mergeCell ref="A47:A49"/>
    <mergeCell ref="A31:A33"/>
    <mergeCell ref="C31:C33"/>
    <mergeCell ref="A56:A58"/>
    <mergeCell ref="B59:B61"/>
    <mergeCell ref="C59:C61"/>
    <mergeCell ref="B65:B67"/>
    <mergeCell ref="D65:D67"/>
    <mergeCell ref="E65:E67"/>
    <mergeCell ref="E56:E58"/>
    <mergeCell ref="C68:C70"/>
    <mergeCell ref="E68:E70"/>
    <mergeCell ref="D56:D58"/>
    <mergeCell ref="A9:C9"/>
    <mergeCell ref="I9:L9"/>
    <mergeCell ref="A20:A21"/>
    <mergeCell ref="C20:C21"/>
    <mergeCell ref="A17:A19"/>
    <mergeCell ref="B17:B19"/>
    <mergeCell ref="D20:D21"/>
    <mergeCell ref="E20:E21"/>
    <mergeCell ref="F20:F21"/>
    <mergeCell ref="B20:B21"/>
    <mergeCell ref="F14:F16"/>
    <mergeCell ref="A1:L1"/>
    <mergeCell ref="N12:O13"/>
    <mergeCell ref="M8:O8"/>
    <mergeCell ref="I8:L8"/>
    <mergeCell ref="I10:L10"/>
    <mergeCell ref="C17:C19"/>
    <mergeCell ref="D17:D19"/>
    <mergeCell ref="A8:C8"/>
    <mergeCell ref="A3:L3"/>
    <mergeCell ref="D9:E9"/>
    <mergeCell ref="D10:E10"/>
    <mergeCell ref="D8:E8"/>
    <mergeCell ref="A11:O11"/>
    <mergeCell ref="G12:M12"/>
    <mergeCell ref="M10:O10"/>
    <mergeCell ref="F12:F13"/>
    <mergeCell ref="E17:E19"/>
    <mergeCell ref="F17:F19"/>
    <mergeCell ref="C14:C16"/>
    <mergeCell ref="B14:B16"/>
    <mergeCell ref="A14:A16"/>
    <mergeCell ref="A10:C10"/>
    <mergeCell ref="M9:O9"/>
    <mergeCell ref="A12:E12"/>
    <mergeCell ref="E47:E49"/>
    <mergeCell ref="D47:D49"/>
    <mergeCell ref="C47:C49"/>
    <mergeCell ref="B47:B49"/>
    <mergeCell ref="B50:B52"/>
    <mergeCell ref="C50:C52"/>
    <mergeCell ref="T12:V12"/>
    <mergeCell ref="W12:Y12"/>
    <mergeCell ref="P12:P13"/>
    <mergeCell ref="E34:E37"/>
    <mergeCell ref="B34:B37"/>
    <mergeCell ref="B31:B33"/>
    <mergeCell ref="N17:O19"/>
    <mergeCell ref="N20:O21"/>
    <mergeCell ref="N41:O43"/>
    <mergeCell ref="E41:E43"/>
    <mergeCell ref="D38:D40"/>
    <mergeCell ref="E38:E40"/>
    <mergeCell ref="B38:B40"/>
    <mergeCell ref="N26:O30"/>
    <mergeCell ref="C26:C30"/>
    <mergeCell ref="D26:D30"/>
    <mergeCell ref="E26:E30"/>
    <mergeCell ref="E22:E25"/>
    <mergeCell ref="N31:O33"/>
    <mergeCell ref="N34:O37"/>
    <mergeCell ref="N38:O40"/>
    <mergeCell ref="D31:D33"/>
    <mergeCell ref="P11:Y11"/>
    <mergeCell ref="A94:A97"/>
    <mergeCell ref="B94:B97"/>
    <mergeCell ref="C94:C97"/>
    <mergeCell ref="D94:D97"/>
    <mergeCell ref="E94:E97"/>
    <mergeCell ref="F94:F97"/>
    <mergeCell ref="N22:O22"/>
    <mergeCell ref="N23:O24"/>
    <mergeCell ref="N25:O25"/>
    <mergeCell ref="Q12:S12"/>
    <mergeCell ref="A62:A64"/>
    <mergeCell ref="B62:B64"/>
    <mergeCell ref="C62:C64"/>
    <mergeCell ref="A59:A61"/>
    <mergeCell ref="B56:B58"/>
    <mergeCell ref="C56:C58"/>
    <mergeCell ref="A65:A67"/>
    <mergeCell ref="B44:B46"/>
    <mergeCell ref="F34:F37"/>
    <mergeCell ref="C34:C37"/>
    <mergeCell ref="D34:D37"/>
    <mergeCell ref="A44:A46"/>
    <mergeCell ref="A115:A116"/>
    <mergeCell ref="N98:O100"/>
    <mergeCell ref="A98:A100"/>
    <mergeCell ref="B98:B100"/>
    <mergeCell ref="C98:C100"/>
    <mergeCell ref="D98:D100"/>
    <mergeCell ref="E98:E100"/>
    <mergeCell ref="F98:F100"/>
    <mergeCell ref="F101:F103"/>
    <mergeCell ref="E101:E103"/>
    <mergeCell ref="D101:D103"/>
    <mergeCell ref="C101:C103"/>
    <mergeCell ref="B101:B103"/>
    <mergeCell ref="A101:A103"/>
    <mergeCell ref="C104:C106"/>
    <mergeCell ref="A104:A106"/>
    <mergeCell ref="B104:B106"/>
    <mergeCell ref="F104:F106"/>
    <mergeCell ref="N104:O106"/>
    <mergeCell ref="D104:D106"/>
    <mergeCell ref="N115:O116"/>
    <mergeCell ref="D115:D116"/>
    <mergeCell ref="E115:E116"/>
    <mergeCell ref="C115:C116"/>
    <mergeCell ref="B115:B116"/>
    <mergeCell ref="F115:F116"/>
    <mergeCell ref="D59:D61"/>
    <mergeCell ref="E59:E61"/>
    <mergeCell ref="D62:D64"/>
    <mergeCell ref="E62:E64"/>
    <mergeCell ref="F71:F73"/>
    <mergeCell ref="B107:B109"/>
    <mergeCell ref="C107:C109"/>
    <mergeCell ref="D107:D109"/>
    <mergeCell ref="F107:F109"/>
    <mergeCell ref="E107:E109"/>
    <mergeCell ref="B110:B112"/>
    <mergeCell ref="C110:C112"/>
    <mergeCell ref="D110:D112"/>
    <mergeCell ref="F110:F112"/>
    <mergeCell ref="F87:F89"/>
    <mergeCell ref="E74:E82"/>
    <mergeCell ref="E71:E73"/>
    <mergeCell ref="C71:C73"/>
  </mergeCells>
  <phoneticPr fontId="2" type="noConversion"/>
  <dataValidations xWindow="1074" yWindow="207" count="6">
    <dataValidation type="date" operator="greaterThan" allowBlank="1" showInputMessage="1" showErrorMessage="1" errorTitle="INTRODUZCA FECHA" error="DD/MM/AA" promptTitle="FECHA DE ELABORACIÓN" prompt="Ingrese la fecha en la cual elabora el plan de manejo de riesgos" sqref="N3" xr:uid="{00000000-0002-0000-0000-000000000000}">
      <formula1>#REF!</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0:L27 L14:L15 L17:L18 L43:L65 L68:L69 L83:L93 L29:L40 L107:L108 L110 L113:L114" xr:uid="{00000000-0002-0000-0000-000001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4:K15 K17:K18 L41:L42 K20:K27 K56:K65 K68:K69 K71:K72 K74:K93 K29:K52 K104:K105 K107:K108 K110 K113:K114" xr:uid="{00000000-0002-0000-0000-000002000000}">
      <formula1>1900/1/1</formula1>
      <formula2>3000/1/1</formula2>
    </dataValidation>
    <dataValidation type="textLength" allowBlank="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53:F55" xr:uid="{00000000-0002-0000-0000-000003000000}">
      <formula1>0</formula1>
      <formula2>390</formula2>
    </dataValidation>
    <dataValidation allowBlank="1" showErrorMessage="1" sqref="G53:K55" xr:uid="{00000000-0002-0000-0000-000004000000}"/>
    <dataValidation type="date" allowBlank="1" errorTitle="Entrada no válida" error="Por favor escriba una fecha válida (AAAA/MM/DD)" promptTitle="Ingrese una fecha (AAAA/MM/DD)" prompt=" Registre la FECHA PROGRAMADA para la terminación de la actividad. (FORMATO AAAA/MM/DD)" sqref="L71:L82 L104:L106" xr:uid="{00000000-0002-0000-0000-000005000000}">
      <formula1>1900/1/1</formula1>
      <formula2>3000/1/1</formula2>
    </dataValidation>
  </dataValidations>
  <pageMargins left="1.1811023622047245" right="0.39370078740157483" top="0.59055118110236227" bottom="0.39370078740157483" header="0" footer="0.39370078740157483"/>
  <pageSetup paperSize="5" scale="70" orientation="landscape" r:id="rId1"/>
  <headerFooter alignWithMargins="0">
    <oddFooter>Página &amp;P de &amp;N</oddFooter>
  </headerFooter>
  <rowBreaks count="1" manualBreakCount="1">
    <brk id="49" max="14" man="1"/>
  </rowBreaks>
  <colBreaks count="1" manualBreakCount="1">
    <brk id="6" max="9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Y214"/>
  <sheetViews>
    <sheetView topLeftCell="A2" zoomScaleNormal="100" workbookViewId="0">
      <selection activeCell="N16" sqref="N16"/>
    </sheetView>
  </sheetViews>
  <sheetFormatPr baseColWidth="10" defaultColWidth="9.140625" defaultRowHeight="12.75" x14ac:dyDescent="0.2"/>
  <cols>
    <col min="1" max="1" width="4.85546875" style="8" customWidth="1"/>
    <col min="2" max="2" width="6.7109375" style="8" customWidth="1"/>
    <col min="3" max="3" width="54.140625" style="71" customWidth="1"/>
    <col min="4" max="4" width="14.28515625" style="8" customWidth="1"/>
    <col min="5" max="5" width="19.5703125" style="8" customWidth="1"/>
    <col min="6" max="6" width="15.5703125" style="8" customWidth="1"/>
    <col min="7" max="7" width="24.5703125" style="8" customWidth="1"/>
    <col min="8" max="8" width="13.7109375" style="8" customWidth="1"/>
    <col min="9" max="9" width="9" style="8" customWidth="1"/>
    <col min="10" max="10" width="13.7109375" style="8" customWidth="1"/>
    <col min="11" max="11" width="13.42578125" style="8" customWidth="1"/>
    <col min="12" max="12" width="9.7109375" style="8" customWidth="1"/>
    <col min="13" max="13" width="12.28515625" style="8" customWidth="1"/>
    <col min="14" max="14" width="13.7109375" style="8" customWidth="1"/>
    <col min="15" max="15" width="25.42578125" style="8" customWidth="1"/>
    <col min="16" max="16" width="19.42578125" style="8" customWidth="1"/>
    <col min="17" max="17" width="13.5703125" style="8" hidden="1" customWidth="1"/>
    <col min="18" max="18" width="22.7109375" style="9" hidden="1" customWidth="1"/>
    <col min="19" max="19" width="11.140625" style="62" hidden="1" customWidth="1"/>
    <col min="20" max="20" width="17" style="139" hidden="1" customWidth="1"/>
    <col min="21" max="21" width="16.85546875" style="139" hidden="1" customWidth="1"/>
    <col min="22" max="22" width="17" style="139" hidden="1" customWidth="1"/>
    <col min="23" max="23" width="13.7109375" style="25" hidden="1" customWidth="1"/>
    <col min="24" max="24" width="16.140625" style="9" hidden="1" customWidth="1"/>
    <col min="25" max="25" width="14.85546875" style="9" hidden="1" customWidth="1"/>
    <col min="26" max="16384" width="9.140625" style="9"/>
  </cols>
  <sheetData>
    <row r="1" spans="1:25" ht="18" customHeight="1" x14ac:dyDescent="0.2">
      <c r="A1" s="59"/>
      <c r="B1" s="58"/>
      <c r="C1" s="68"/>
      <c r="D1" s="739" t="s">
        <v>20</v>
      </c>
      <c r="E1" s="739"/>
      <c r="F1" s="739"/>
      <c r="G1" s="739"/>
      <c r="H1" s="739"/>
      <c r="I1" s="739"/>
      <c r="J1" s="739"/>
      <c r="K1" s="739"/>
      <c r="L1" s="5"/>
      <c r="M1" s="5"/>
      <c r="N1" s="5"/>
      <c r="O1" s="6" t="s">
        <v>15</v>
      </c>
      <c r="P1" s="7" t="s">
        <v>19</v>
      </c>
    </row>
    <row r="2" spans="1:25" ht="18" customHeight="1" x14ac:dyDescent="0.2">
      <c r="A2" s="60"/>
      <c r="B2" s="12"/>
      <c r="C2" s="69"/>
      <c r="D2" s="12"/>
      <c r="E2" s="12"/>
      <c r="F2" s="12"/>
      <c r="G2" s="11"/>
      <c r="H2" s="11"/>
      <c r="I2" s="11"/>
      <c r="J2" s="11"/>
      <c r="K2" s="11"/>
      <c r="L2" s="11"/>
      <c r="M2" s="11"/>
      <c r="N2" s="11"/>
      <c r="O2" s="13" t="s">
        <v>16</v>
      </c>
      <c r="P2" s="14">
        <v>2</v>
      </c>
    </row>
    <row r="3" spans="1:25" ht="18" customHeight="1" x14ac:dyDescent="0.2">
      <c r="A3" s="60"/>
      <c r="B3" s="12"/>
      <c r="C3" s="69"/>
      <c r="D3" s="740" t="s">
        <v>21</v>
      </c>
      <c r="E3" s="740"/>
      <c r="F3" s="740"/>
      <c r="G3" s="740"/>
      <c r="H3" s="740"/>
      <c r="I3" s="740"/>
      <c r="J3" s="740"/>
      <c r="K3" s="740"/>
      <c r="L3" s="11"/>
      <c r="M3" s="11"/>
      <c r="N3" s="11"/>
      <c r="O3" s="13" t="s">
        <v>17</v>
      </c>
      <c r="P3" s="15">
        <v>41404</v>
      </c>
    </row>
    <row r="4" spans="1:25" ht="18" customHeight="1" thickBot="1" x14ac:dyDescent="0.25">
      <c r="A4" s="61"/>
      <c r="B4" s="18"/>
      <c r="C4" s="70"/>
      <c r="D4" s="18"/>
      <c r="E4" s="18"/>
      <c r="F4" s="18"/>
      <c r="G4" s="17"/>
      <c r="H4" s="17"/>
      <c r="I4" s="17"/>
      <c r="J4" s="17"/>
      <c r="K4" s="17"/>
      <c r="L4" s="17"/>
      <c r="M4" s="17"/>
      <c r="N4" s="17"/>
      <c r="O4" s="19" t="s">
        <v>27</v>
      </c>
      <c r="P4" s="20" t="s">
        <v>18</v>
      </c>
    </row>
    <row r="5" spans="1:25" ht="15.75" thickBot="1" x14ac:dyDescent="0.25">
      <c r="A5" s="60"/>
      <c r="B5" s="12"/>
      <c r="C5" s="69"/>
      <c r="D5" s="12"/>
      <c r="E5" s="12"/>
      <c r="F5" s="12"/>
      <c r="G5" s="11"/>
      <c r="H5" s="11"/>
      <c r="I5" s="11"/>
      <c r="J5" s="11"/>
      <c r="K5" s="11"/>
      <c r="L5" s="11"/>
      <c r="M5" s="11"/>
      <c r="N5" s="11"/>
      <c r="O5" s="13"/>
      <c r="P5" s="21"/>
    </row>
    <row r="6" spans="1:25" ht="15.75" thickBot="1" x14ac:dyDescent="0.25">
      <c r="A6" s="741" t="s">
        <v>36</v>
      </c>
      <c r="B6" s="742"/>
      <c r="C6" s="742"/>
      <c r="D6" s="742"/>
      <c r="E6" s="742"/>
      <c r="F6" s="743"/>
      <c r="G6" s="747" t="s">
        <v>22</v>
      </c>
      <c r="H6" s="748"/>
      <c r="I6" s="748"/>
      <c r="J6" s="748"/>
      <c r="K6" s="748"/>
      <c r="L6" s="748"/>
      <c r="M6" s="748"/>
      <c r="N6" s="749"/>
      <c r="O6" s="750" t="e">
        <f>Y91</f>
        <v>#REF!</v>
      </c>
      <c r="P6" s="751"/>
    </row>
    <row r="7" spans="1:25" ht="18" customHeight="1" thickBot="1" x14ac:dyDescent="0.25">
      <c r="A7" s="744"/>
      <c r="B7" s="745"/>
      <c r="C7" s="745"/>
      <c r="D7" s="745"/>
      <c r="E7" s="745"/>
      <c r="F7" s="746"/>
      <c r="G7" s="747" t="s">
        <v>49</v>
      </c>
      <c r="H7" s="748"/>
      <c r="I7" s="748"/>
      <c r="J7" s="748"/>
      <c r="K7" s="748"/>
      <c r="L7" s="748"/>
      <c r="M7" s="748"/>
      <c r="N7" s="749"/>
      <c r="O7" s="750">
        <f>$S$9</f>
        <v>1</v>
      </c>
      <c r="P7" s="751"/>
    </row>
    <row r="8" spans="1:25" ht="15" x14ac:dyDescent="0.2">
      <c r="A8" s="752" t="s">
        <v>82</v>
      </c>
      <c r="B8" s="753"/>
      <c r="C8" s="753"/>
      <c r="D8" s="754"/>
      <c r="E8" s="754"/>
      <c r="F8" s="755"/>
      <c r="G8" s="756" t="s">
        <v>50</v>
      </c>
      <c r="H8" s="757"/>
      <c r="I8" s="757"/>
      <c r="J8" s="757"/>
      <c r="K8" s="757"/>
      <c r="L8" s="758">
        <f>S11</f>
        <v>35</v>
      </c>
      <c r="M8" s="758"/>
      <c r="N8" s="757" t="s">
        <v>52</v>
      </c>
      <c r="O8" s="757"/>
      <c r="P8" s="63">
        <f>$S$8</f>
        <v>76</v>
      </c>
      <c r="R8" s="22" t="s">
        <v>38</v>
      </c>
      <c r="S8" s="140">
        <v>76</v>
      </c>
      <c r="U8" s="44"/>
      <c r="V8" s="44"/>
    </row>
    <row r="9" spans="1:25" x14ac:dyDescent="0.2">
      <c r="A9" s="752" t="s">
        <v>83</v>
      </c>
      <c r="B9" s="753"/>
      <c r="C9" s="753"/>
      <c r="D9" s="759"/>
      <c r="E9" s="760"/>
      <c r="F9" s="761"/>
      <c r="G9" s="762" t="s">
        <v>46</v>
      </c>
      <c r="H9" s="763"/>
      <c r="I9" s="763"/>
      <c r="J9" s="763"/>
      <c r="K9" s="763"/>
      <c r="L9" s="64">
        <f>COUNTIF(X15:X90,"SUBSANADO")</f>
        <v>0</v>
      </c>
      <c r="M9" s="182" t="e">
        <f>$W$91</f>
        <v>#REF!</v>
      </c>
      <c r="N9" s="764" t="s">
        <v>51</v>
      </c>
      <c r="O9" s="765"/>
      <c r="P9" s="65">
        <f>COUNTIF(N15:N90,"Finalizada")</f>
        <v>0</v>
      </c>
      <c r="Q9" s="139" t="e">
        <f>Q91</f>
        <v>#REF!</v>
      </c>
      <c r="R9" s="22" t="s">
        <v>39</v>
      </c>
      <c r="S9" s="141">
        <f>100%-(P10/$S$8)</f>
        <v>1</v>
      </c>
      <c r="U9" s="25"/>
      <c r="V9" s="25"/>
    </row>
    <row r="10" spans="1:25" ht="15" x14ac:dyDescent="0.2">
      <c r="A10" s="766" t="s">
        <v>84</v>
      </c>
      <c r="B10" s="753"/>
      <c r="C10" s="753"/>
      <c r="D10" s="767"/>
      <c r="E10" s="767"/>
      <c r="F10" s="768"/>
      <c r="G10" s="769" t="s">
        <v>48</v>
      </c>
      <c r="H10" s="770"/>
      <c r="I10" s="770"/>
      <c r="J10" s="770"/>
      <c r="K10" s="770"/>
      <c r="L10" s="771">
        <f>$S$10</f>
        <v>44</v>
      </c>
      <c r="M10" s="771"/>
      <c r="N10" s="764" t="s">
        <v>53</v>
      </c>
      <c r="O10" s="765"/>
      <c r="P10" s="65">
        <f>COUNTIF(M15:M90,"Vencida")</f>
        <v>0</v>
      </c>
      <c r="Q10" s="23"/>
      <c r="R10" s="24" t="s">
        <v>44</v>
      </c>
      <c r="S10" s="140">
        <v>44</v>
      </c>
      <c r="T10" s="157">
        <f>1/$S$10</f>
        <v>2.2727272727272728E-2</v>
      </c>
      <c r="U10" s="25"/>
      <c r="V10" s="25"/>
    </row>
    <row r="11" spans="1:25" ht="13.5" thickBot="1" x14ac:dyDescent="0.25">
      <c r="A11" s="772" t="s">
        <v>85</v>
      </c>
      <c r="B11" s="773"/>
      <c r="C11" s="773"/>
      <c r="D11" s="774"/>
      <c r="E11" s="774"/>
      <c r="F11" s="775"/>
      <c r="G11" s="776" t="s">
        <v>47</v>
      </c>
      <c r="H11" s="777"/>
      <c r="I11" s="777"/>
      <c r="J11" s="777"/>
      <c r="K11" s="777"/>
      <c r="L11" s="66">
        <f>COUNTIF(T15:T90,"FINALIZADA")</f>
        <v>0</v>
      </c>
      <c r="M11" s="181" t="e">
        <f>$S$91</f>
        <v>#REF!</v>
      </c>
      <c r="N11" s="778" t="s">
        <v>54</v>
      </c>
      <c r="O11" s="779"/>
      <c r="P11" s="67">
        <f>COUNTIF($K$15:$K$90,0)+ COUNTIF($K$15:$K$90,"")</f>
        <v>76</v>
      </c>
      <c r="R11" s="24" t="s">
        <v>45</v>
      </c>
      <c r="S11" s="140">
        <v>35</v>
      </c>
      <c r="T11" s="158">
        <f>1/S11</f>
        <v>2.8571428571428571E-2</v>
      </c>
      <c r="U11" s="25"/>
      <c r="V11" s="25"/>
    </row>
    <row r="12" spans="1:25" ht="3" customHeight="1" thickBot="1" x14ac:dyDescent="0.25">
      <c r="A12" s="787"/>
      <c r="B12" s="788"/>
      <c r="C12" s="788"/>
      <c r="D12" s="788"/>
      <c r="E12" s="788"/>
      <c r="F12" s="788"/>
      <c r="G12" s="788"/>
      <c r="H12" s="788"/>
      <c r="I12" s="788"/>
      <c r="J12" s="788"/>
      <c r="K12" s="788"/>
      <c r="L12" s="788"/>
      <c r="M12" s="788"/>
      <c r="N12" s="788"/>
      <c r="O12" s="788"/>
      <c r="P12" s="789"/>
      <c r="X12" s="25"/>
    </row>
    <row r="13" spans="1:25" s="79" customFormat="1" ht="47.25" customHeight="1" x14ac:dyDescent="0.2">
      <c r="A13" s="794" t="s">
        <v>55</v>
      </c>
      <c r="B13" s="795"/>
      <c r="C13" s="796" t="s">
        <v>7</v>
      </c>
      <c r="D13" s="796"/>
      <c r="E13" s="790" t="s">
        <v>69</v>
      </c>
      <c r="F13" s="790" t="s">
        <v>63</v>
      </c>
      <c r="G13" s="790" t="s">
        <v>25</v>
      </c>
      <c r="H13" s="790"/>
      <c r="I13" s="790"/>
      <c r="J13" s="790"/>
      <c r="K13" s="790"/>
      <c r="L13" s="790" t="s">
        <v>26</v>
      </c>
      <c r="M13" s="790"/>
      <c r="N13" s="790"/>
      <c r="O13" s="790" t="s">
        <v>37</v>
      </c>
      <c r="P13" s="792"/>
      <c r="Q13" s="780" t="s">
        <v>41</v>
      </c>
      <c r="R13" s="781"/>
      <c r="S13" s="781" t="s">
        <v>40</v>
      </c>
      <c r="T13" s="781"/>
      <c r="U13" s="781"/>
      <c r="V13" s="781"/>
      <c r="W13" s="848" t="s">
        <v>7</v>
      </c>
      <c r="X13" s="848"/>
      <c r="Y13" s="849"/>
    </row>
    <row r="14" spans="1:25" s="79" customFormat="1" ht="58.5" customHeight="1" thickBot="1" x14ac:dyDescent="0.25">
      <c r="A14" s="132" t="s">
        <v>8</v>
      </c>
      <c r="B14" s="133" t="s">
        <v>6</v>
      </c>
      <c r="C14" s="134" t="s">
        <v>5</v>
      </c>
      <c r="D14" s="135" t="s">
        <v>30</v>
      </c>
      <c r="E14" s="791"/>
      <c r="F14" s="791"/>
      <c r="G14" s="135" t="s">
        <v>5</v>
      </c>
      <c r="H14" s="135" t="s">
        <v>0</v>
      </c>
      <c r="I14" s="135" t="s">
        <v>66</v>
      </c>
      <c r="J14" s="135" t="s">
        <v>12</v>
      </c>
      <c r="K14" s="136" t="s">
        <v>68</v>
      </c>
      <c r="L14" s="134" t="s">
        <v>4</v>
      </c>
      <c r="M14" s="134" t="s">
        <v>3</v>
      </c>
      <c r="N14" s="134" t="s">
        <v>9</v>
      </c>
      <c r="O14" s="791"/>
      <c r="P14" s="793"/>
      <c r="Q14" s="194" t="s">
        <v>42</v>
      </c>
      <c r="R14" s="189" t="s">
        <v>79</v>
      </c>
      <c r="S14" s="190" t="s">
        <v>81</v>
      </c>
      <c r="T14" s="191" t="s">
        <v>78</v>
      </c>
      <c r="U14" s="191" t="s">
        <v>76</v>
      </c>
      <c r="V14" s="191" t="s">
        <v>80</v>
      </c>
      <c r="W14" s="192" t="s">
        <v>81</v>
      </c>
      <c r="X14" s="191" t="s">
        <v>75</v>
      </c>
      <c r="Y14" s="193" t="s">
        <v>77</v>
      </c>
    </row>
    <row r="15" spans="1:25" s="27" customFormat="1" ht="138" customHeight="1" thickBot="1" x14ac:dyDescent="0.25">
      <c r="A15" s="122">
        <f>'1115-F02 Informe PM'!A14</f>
        <v>1</v>
      </c>
      <c r="B15" s="117" t="str">
        <f>'1115-F02 Informe PM'!B14</f>
        <v>01-2019</v>
      </c>
      <c r="C15" s="123" t="str">
        <f>'1115-F02 Informe PM'!C14</f>
        <v>HALLAZGO 1 CONCILIACIÓN CARTERA
La Universidad Tecnológica de Pereira presenta en el Estado de Situación Financiera a 31/12/2019, un saldo por cobrar en la cuenta 1317 Prestación de Servicios por $5.729.951.935, que representa el 76% del saldo total del grupo 13 Cuentas por cobrar por $7.504.089.135. 
Para confirmar el saldo de la cuenta 1317, se circularizaron 15 terceros con saldos por $4.856.512.939; de los cuales, 6 terceros informaron a este Ente de Control, no poseer cuentas por pagar a 31/12/2019 a favor de la UTP; o en su defecto, los saldos en su contabilidad difieren del valor presentado por la Universidad Tecnológica de Pereira, estableciendo una diferencia de $1.413.349.397 al confirmar los saldos por terceros circularizados. (ver tabla 8 Informe)</v>
      </c>
      <c r="D15" s="117" t="str">
        <f>'1115-F02 Informe PM'!D14</f>
        <v>Debilidades de control en el proceso de análisis, verificación y conciliación de la información contable</v>
      </c>
      <c r="E15" s="117" t="e">
        <f>'1115-F02 Informe PM'!#REF!</f>
        <v>#REF!</v>
      </c>
      <c r="F15" s="117" t="str">
        <f>'1115-F02 Informe PM'!F14</f>
        <v>Revisión del Procedimiento  y el Manual de Politicas Contables establecidos para la Cartera y Conciliación de la misma.</v>
      </c>
      <c r="G15" s="105" t="str">
        <f>'1115-F02 Informe PM'!G14</f>
        <v>Analizar los procedimientos y Manual de Politicas establecidos para la Cartera y la conciliación de la misma</v>
      </c>
      <c r="H15" s="105" t="str">
        <f>'1115-F02 Informe PM'!I14</f>
        <v>Documento</v>
      </c>
      <c r="I15" s="105">
        <f>'1115-F02 Informe PM'!J14</f>
        <v>1</v>
      </c>
      <c r="J15" s="106">
        <f>'1115-F02 Informe PM'!L14</f>
        <v>44255</v>
      </c>
      <c r="K15" s="195"/>
      <c r="L15" s="77" t="str">
        <f>IF(AND(K15&lt;I15, K15&gt;0),"Si","No")</f>
        <v>No</v>
      </c>
      <c r="M15" s="77" t="str">
        <f>IF(AND($D$11&gt;J15,K15&lt;I15),"Vencida","No")</f>
        <v>No</v>
      </c>
      <c r="N15" s="77" t="str">
        <f>IF(K15=I15,"Finalizada","No")</f>
        <v>No</v>
      </c>
      <c r="O15" s="782"/>
      <c r="P15" s="783"/>
      <c r="Q15" s="47">
        <f>K15/I15</f>
        <v>0</v>
      </c>
      <c r="R15" s="46">
        <f t="shared" ref="R15:R20" si="0">Q15/1</f>
        <v>0</v>
      </c>
      <c r="S15" s="50">
        <f t="shared" ref="S15:S20" si="1">(R15)/$S$10</f>
        <v>0</v>
      </c>
      <c r="T15" s="183" t="str">
        <f t="shared" ref="T15:T21" si="2">IF(S15=$T$10, "FINALIZADA", "PENDIENTE")</f>
        <v>PENDIENTE</v>
      </c>
      <c r="U15" s="184">
        <f t="shared" ref="U15:U21" si="3">S15/$T$10</f>
        <v>0</v>
      </c>
      <c r="V15" s="185">
        <f t="shared" ref="V15:V21" si="4">U15/1</f>
        <v>0</v>
      </c>
      <c r="W15" s="186">
        <f t="shared" ref="W15:W21" si="5">V15/$S$11</f>
        <v>0</v>
      </c>
      <c r="X15" s="187" t="str">
        <f t="shared" ref="X15:X21" si="6">IF(W15=$T$11, "SUBSANADO", "PENDIENTE SUBSANAR")</f>
        <v>PENDIENTE SUBSANAR</v>
      </c>
      <c r="Y15" s="188">
        <f t="shared" ref="Y15:Y21" si="7">W15/$T$11</f>
        <v>0</v>
      </c>
    </row>
    <row r="16" spans="1:25" s="27" customFormat="1" ht="119.25" customHeight="1" thickBot="1" x14ac:dyDescent="0.25">
      <c r="A16" s="109">
        <f>'1115-F02 Informe PM'!A17</f>
        <v>2</v>
      </c>
      <c r="B16" s="110" t="str">
        <f>'1115-F02 Informe PM'!B17</f>
        <v>02-2019</v>
      </c>
      <c r="C16" s="111" t="str">
        <f>'1115-F02 Informe PM'!C17</f>
        <v>HALLAZGO 2 DETERIORO DE CUENTAS POR COBRAR 
Contrario a lo señalado en su propio Manual de Políticas Contables, la Universidad Tecnológica de Pereira, para la vigencia 2019, registró deterioro de cuentas por cobrar por $4.181.816, cuyo vencimiento no alcanzaba los 180 días, como se detalla a continuación (Ver tabla 9 de informe).  Estas cuentas por cobrar antes de ser deterioradas fueron registradas en la cuenta 1385 Cuentas por cobrar de difícil recaudo, en donde se reconocen las cuentas que por su antigüedad y morosidad (180 días) han sido reclasificadas desde la cuenta principal, por lo tanto, las cuentas en mención no cumplían el requisito para haber sido reclasificadas a la cuenta 1385 y posteriormente deterioradas.</v>
      </c>
      <c r="D16" s="110" t="str">
        <f>'1115-F02 Informe PM'!D17</f>
        <v xml:space="preserve">Debilidades de control y seguimiento al procedimiento de deterioro de las cuentas por cobrar, situación </v>
      </c>
      <c r="E16" s="110" t="e">
        <f>'1115-F02 Informe PM'!#REF!</f>
        <v>#REF!</v>
      </c>
      <c r="F16" s="110" t="str">
        <f>'1115-F02 Informe PM'!F17</f>
        <v xml:space="preserve">Revisión del Manual de Politicas en relación a procedimiento establecido por la CGN con respecto al Deterioro de las Cuentas por Cobrar </v>
      </c>
      <c r="G16" s="80" t="str">
        <f>'1115-F02 Informe PM'!G17</f>
        <v>Analizar los procedimientos y Manual de Politicas establecidos para el deterioro de Cuentas por Cobrar</v>
      </c>
      <c r="H16" s="80" t="str">
        <f>'1115-F02 Informe PM'!I17</f>
        <v>Documento</v>
      </c>
      <c r="I16" s="80">
        <f>'1115-F02 Informe PM'!J17</f>
        <v>1</v>
      </c>
      <c r="J16" s="81">
        <f>'1115-F02 Informe PM'!L17</f>
        <v>44255</v>
      </c>
      <c r="K16" s="196"/>
      <c r="L16" s="74" t="str">
        <f t="shared" ref="L16:L30" si="8">IF(AND(K16&lt;I16, K16&gt;0),"Si","No")</f>
        <v>No</v>
      </c>
      <c r="M16" s="74" t="str">
        <f t="shared" ref="M16:M30" si="9">IF(AND($D$11&gt;J16,K16&lt;I16),"Vencida","No")</f>
        <v>No</v>
      </c>
      <c r="N16" s="74" t="str">
        <f t="shared" ref="N16:N30" si="10">IF(K16=I16,"Finalizada","No")</f>
        <v>No</v>
      </c>
      <c r="O16" s="806"/>
      <c r="P16" s="807"/>
      <c r="Q16" s="53">
        <f t="shared" ref="Q16:Q79" si="11">K16/I16</f>
        <v>0</v>
      </c>
      <c r="R16" s="30">
        <f t="shared" si="0"/>
        <v>0</v>
      </c>
      <c r="S16" s="137">
        <f t="shared" si="1"/>
        <v>0</v>
      </c>
      <c r="T16" s="156" t="str">
        <f t="shared" si="2"/>
        <v>PENDIENTE</v>
      </c>
      <c r="U16" s="154">
        <f t="shared" si="3"/>
        <v>0</v>
      </c>
      <c r="V16" s="168">
        <f t="shared" si="4"/>
        <v>0</v>
      </c>
      <c r="W16" s="166">
        <f t="shared" si="5"/>
        <v>0</v>
      </c>
      <c r="X16" s="170" t="str">
        <f t="shared" si="6"/>
        <v>PENDIENTE SUBSANAR</v>
      </c>
      <c r="Y16" s="169">
        <f t="shared" si="7"/>
        <v>0</v>
      </c>
    </row>
    <row r="17" spans="1:25" s="27" customFormat="1" ht="185.25" customHeight="1" thickBot="1" x14ac:dyDescent="0.25">
      <c r="A17" s="109" t="e">
        <f>'1115-F02 Informe PM'!#REF!</f>
        <v>#REF!</v>
      </c>
      <c r="B17" s="110" t="e">
        <f>'1115-F02 Informe PM'!#REF!</f>
        <v>#REF!</v>
      </c>
      <c r="C17" s="111" t="e">
        <f>'1115-F02 Informe PM'!#REF!</f>
        <v>#REF!</v>
      </c>
      <c r="D17" s="110" t="e">
        <f>'1115-F02 Informe PM'!#REF!</f>
        <v>#REF!</v>
      </c>
      <c r="E17" s="110" t="e">
        <f>'1115-F02 Informe PM'!#REF!</f>
        <v>#REF!</v>
      </c>
      <c r="F17" s="110" t="e">
        <f>'1115-F02 Informe PM'!#REF!</f>
        <v>#REF!</v>
      </c>
      <c r="G17" s="80" t="e">
        <f>'1115-F02 Informe PM'!#REF!</f>
        <v>#REF!</v>
      </c>
      <c r="H17" s="80" t="e">
        <f>'1115-F02 Informe PM'!#REF!</f>
        <v>#REF!</v>
      </c>
      <c r="I17" s="80" t="e">
        <f>'1115-F02 Informe PM'!#REF!</f>
        <v>#REF!</v>
      </c>
      <c r="J17" s="81" t="e">
        <f>'1115-F02 Informe PM'!#REF!</f>
        <v>#REF!</v>
      </c>
      <c r="K17" s="196"/>
      <c r="L17" s="74" t="e">
        <f t="shared" si="8"/>
        <v>#REF!</v>
      </c>
      <c r="M17" s="74" t="e">
        <f t="shared" si="9"/>
        <v>#REF!</v>
      </c>
      <c r="N17" s="74" t="e">
        <f t="shared" si="10"/>
        <v>#REF!</v>
      </c>
      <c r="O17" s="806"/>
      <c r="P17" s="807"/>
      <c r="Q17" s="53" t="e">
        <f t="shared" si="11"/>
        <v>#REF!</v>
      </c>
      <c r="R17" s="30" t="e">
        <f t="shared" si="0"/>
        <v>#REF!</v>
      </c>
      <c r="S17" s="137" t="e">
        <f t="shared" si="1"/>
        <v>#REF!</v>
      </c>
      <c r="T17" s="156" t="e">
        <f t="shared" si="2"/>
        <v>#REF!</v>
      </c>
      <c r="U17" s="154" t="e">
        <f t="shared" si="3"/>
        <v>#REF!</v>
      </c>
      <c r="V17" s="168" t="e">
        <f t="shared" si="4"/>
        <v>#REF!</v>
      </c>
      <c r="W17" s="166" t="e">
        <f t="shared" si="5"/>
        <v>#REF!</v>
      </c>
      <c r="X17" s="170" t="e">
        <f t="shared" si="6"/>
        <v>#REF!</v>
      </c>
      <c r="Y17" s="169" t="e">
        <f t="shared" si="7"/>
        <v>#REF!</v>
      </c>
    </row>
    <row r="18" spans="1:25" s="27" customFormat="1" ht="190.5" customHeight="1" thickBot="1" x14ac:dyDescent="0.25">
      <c r="A18" s="109">
        <f>'1115-F02 Informe PM'!A22</f>
        <v>4</v>
      </c>
      <c r="B18" s="110" t="str">
        <f>'1115-F02 Informe PM'!B22</f>
        <v>04-2019</v>
      </c>
      <c r="C18" s="111" t="str">
        <f>'1115-F02 Informe PM'!C22</f>
        <v>HALLAZGO 4 AMORTIZACIÓN ACTIVOS INTANGIBLES
Incumpliendo lo anterior, la Universidad Tecnológica de Pereira, durante la vigencia 2019, realizó medición posterior inadecuada de las licencias y software que hacen parte de los activos intangibles, calculando la amortización con una vida útil de 1080 días (3 años) para todos los activos, sin tener en cuenta los términos particulares de duración de cada licencia establecidos en los contratos, reconociendo un menor valor en la cuenta 197507 licencias por $496.300.145; adicionalmente fueron amortizados en la vigencia, dos software que se encontraban en desarrollo y que fueron trasladados en el mes de diciembre, mediante ajuste contable, a la cuenta 197010 Activos intangibles en fase de desarrollo,  los cuales no debían ser objeto de amortización, puesto que no se obtuvieron beneficios económicos de estos durante el 2019, dando como resultado un mayor valor en la cuenta 197508 software por $6.645.716. Las diferencias se detallan (ver tabla 10 Informe)</v>
      </c>
      <c r="D18" s="110" t="str">
        <f>'1115-F02 Informe PM'!D22</f>
        <v>Falta de un inventario detallado de todos los activos intangibles que se encuentran en uso, donde se identifique su costo y vida útil el cual sea insumo para el proceso contable; así mismo por debilidades de control interno contable relacionadas con las estimaciones</v>
      </c>
      <c r="E18" s="110" t="e">
        <f>'1115-F02 Informe PM'!#REF!</f>
        <v>#REF!</v>
      </c>
      <c r="F18" s="110" t="str">
        <f>'1115-F02 Informe PM'!F22</f>
        <v xml:space="preserve"> Revisión de las Politicas Contables establecidas relacionadas con los activos intangibles y su amortización </v>
      </c>
      <c r="G18" s="80" t="str">
        <f>'1115-F02 Informe PM'!G22</f>
        <v>Revisar y ajustar el Manual de Polticas contables en relación al tratamiento contable de los activos intangibles de acuerdo a la norma.</v>
      </c>
      <c r="H18" s="80" t="str">
        <f>'1115-F02 Informe PM'!I22</f>
        <v>Documento</v>
      </c>
      <c r="I18" s="80">
        <f>'1115-F02 Informe PM'!J22</f>
        <v>1</v>
      </c>
      <c r="J18" s="81">
        <f>'1115-F02 Informe PM'!L22</f>
        <v>44135</v>
      </c>
      <c r="K18" s="196"/>
      <c r="L18" s="74" t="str">
        <f t="shared" si="8"/>
        <v>No</v>
      </c>
      <c r="M18" s="74" t="str">
        <f t="shared" si="9"/>
        <v>No</v>
      </c>
      <c r="N18" s="74" t="str">
        <f t="shared" si="10"/>
        <v>No</v>
      </c>
      <c r="O18" s="806"/>
      <c r="P18" s="807"/>
      <c r="Q18" s="53">
        <f t="shared" si="11"/>
        <v>0</v>
      </c>
      <c r="R18" s="30">
        <f t="shared" si="0"/>
        <v>0</v>
      </c>
      <c r="S18" s="137">
        <f t="shared" si="1"/>
        <v>0</v>
      </c>
      <c r="T18" s="156" t="str">
        <f t="shared" si="2"/>
        <v>PENDIENTE</v>
      </c>
      <c r="U18" s="154">
        <f t="shared" si="3"/>
        <v>0</v>
      </c>
      <c r="V18" s="168">
        <f t="shared" si="4"/>
        <v>0</v>
      </c>
      <c r="W18" s="166">
        <f t="shared" si="5"/>
        <v>0</v>
      </c>
      <c r="X18" s="170" t="str">
        <f t="shared" si="6"/>
        <v>PENDIENTE SUBSANAR</v>
      </c>
      <c r="Y18" s="169">
        <f t="shared" si="7"/>
        <v>0</v>
      </c>
    </row>
    <row r="19" spans="1:25" s="27" customFormat="1" ht="119.25" customHeight="1" thickBot="1" x14ac:dyDescent="0.25">
      <c r="A19" s="109">
        <f>'1115-F02 Informe PM'!A26</f>
        <v>5</v>
      </c>
      <c r="B19" s="110" t="str">
        <f>'1115-F02 Informe PM'!B26</f>
        <v>05-2019</v>
      </c>
      <c r="C19" s="111" t="str">
        <f>'1115-F02 Informe PM'!C26</f>
        <v>HALLAZGO 5 OPERACIONES RECÍPROCAS MEN 
Contrario a las normas citadas, la Universidad Tecnológica de Pereira, presentó diferencia por $248.579.266, entre el saldo contable a diciembre 31 de 2019 de la cuenta 4428 OTRAS TRANSFERENCIAS y el valor reportado por el Ministerio de Educación Nacional en el informe de operaciones recíprocas de la Contaduría General de la Nación, tratándose de una transferencia para pensiones de la vigencia anterior, que no fue reconocida en dicha vigencia. 
La subcuenta 442801 Pensiones, presentó diferencia por $20.471.010, según nota de contabilidad 118 del 30 de abril de 2019; la diferencia por $2.199.763.510, presentada en el código 442803 funcionamiento, corresponde a error en la clasificación contable según notas de contabilidad 398 del 04 de octubre de 2019 por $1.971.655.254 que debía ser registrada en la cuenta 442805 Programas de educación y 190 del 7 de junio de 2019 por $228.108.256, que correspondía a transferencia para pensiones, tal como se detalla a continuación (Ver tabla 11 Informe)</v>
      </c>
      <c r="D19" s="110" t="str">
        <f>'1115-F02 Informe PM'!D26</f>
        <v>Debilidades de control en la conciliación de operaciones reciprocas</v>
      </c>
      <c r="E19" s="110" t="e">
        <f>'1115-F02 Informe PM'!#REF!</f>
        <v>#REF!</v>
      </c>
      <c r="F19" s="110" t="str">
        <f>'1115-F02 Informe PM'!F26</f>
        <v>Revisión del Procedimiento  establecido para la conciliación de Operaciones Reciprocas</v>
      </c>
      <c r="G19" s="80" t="str">
        <f>'1115-F02 Informe PM'!G26</f>
        <v>Analizar los procedimientos y Manual de Politicas establecidos para la Conciliación de Operacines Reciprocas</v>
      </c>
      <c r="H19" s="80" t="str">
        <f>'1115-F02 Informe PM'!I26</f>
        <v>Documento</v>
      </c>
      <c r="I19" s="80">
        <f>'1115-F02 Informe PM'!J26</f>
        <v>1</v>
      </c>
      <c r="J19" s="81">
        <f>'1115-F02 Informe PM'!L26</f>
        <v>44255</v>
      </c>
      <c r="K19" s="196"/>
      <c r="L19" s="74" t="str">
        <f t="shared" si="8"/>
        <v>No</v>
      </c>
      <c r="M19" s="74" t="str">
        <f t="shared" si="9"/>
        <v>No</v>
      </c>
      <c r="N19" s="74" t="str">
        <f t="shared" si="10"/>
        <v>No</v>
      </c>
      <c r="O19" s="806"/>
      <c r="P19" s="807"/>
      <c r="Q19" s="53">
        <f t="shared" si="11"/>
        <v>0</v>
      </c>
      <c r="R19" s="30">
        <f t="shared" si="0"/>
        <v>0</v>
      </c>
      <c r="S19" s="137">
        <f t="shared" si="1"/>
        <v>0</v>
      </c>
      <c r="T19" s="156" t="str">
        <f t="shared" si="2"/>
        <v>PENDIENTE</v>
      </c>
      <c r="U19" s="154">
        <f t="shared" si="3"/>
        <v>0</v>
      </c>
      <c r="V19" s="168">
        <f t="shared" si="4"/>
        <v>0</v>
      </c>
      <c r="W19" s="166">
        <f t="shared" si="5"/>
        <v>0</v>
      </c>
      <c r="X19" s="170" t="str">
        <f t="shared" si="6"/>
        <v>PENDIENTE SUBSANAR</v>
      </c>
      <c r="Y19" s="169">
        <f t="shared" si="7"/>
        <v>0</v>
      </c>
    </row>
    <row r="20" spans="1:25" s="27" customFormat="1" ht="300" customHeight="1" thickBot="1" x14ac:dyDescent="0.25">
      <c r="A20" s="114">
        <f>'1115-F02 Informe PM'!A31</f>
        <v>6</v>
      </c>
      <c r="B20" s="115" t="str">
        <f>'1115-F02 Informe PM'!B31</f>
        <v>06-2019</v>
      </c>
      <c r="C20" s="116" t="str">
        <f>'1115-F02 Informe PM'!C31</f>
        <v>HALLAZGO 6 DERECHOS POR COBRAR PENSIONES 
Contrario a las normas citadas, la Universidad Tecnológica de Pereira registró las transferencias del Ministerio de Educación Nacional para pensiones de la vigencia 2019 por $1.615.236.239, en la cuenta 442801 transferencias para pensiones, debiendo ser acreditada la subcuenta 190408-Derechos por cobrar-Concurrencia para el pago de pensiones de la cuenta 1904-PLAN DE ACTIVOS PARA BENEFICIOS POSEMPLEO, con el fin de amortizar los derechos por cobrar correspondientes a la concurrencia.
Así mismo, no reconoció en la subcuenta 190408 Derechos por cobrar, la concurrencia pensional a cargo del Ministerio de Educación Nacional, tratándose de derechos que hacen parte integral del plan de activos para financiar el pasivo pensional por $70.323.601.096, según saldo de la cuenta 2514.</v>
      </c>
      <c r="D20" s="115" t="str">
        <f>'1115-F02 Informe PM'!D31</f>
        <v>Debilidades de control en la transición efectuada al nuevo marco normativo en la vigencia anterior y por error en la aplicación del procedimiento establecido por la CGN para el manejo del pasivo pensional</v>
      </c>
      <c r="E20" s="115" t="e">
        <f>'1115-F02 Informe PM'!#REF!</f>
        <v>#REF!</v>
      </c>
      <c r="F20" s="115" t="str">
        <f>'1115-F02 Informe PM'!F31</f>
        <v>Verificación de la contabilizacion de la concurrencia para el pago del pasivo pensional de acuerdo a la norma establecida</v>
      </c>
      <c r="G20" s="102" t="str">
        <f>'1115-F02 Informe PM'!G31</f>
        <v>Consultar a la Contaduría General de la Nacional si la universidad esta obligada a reconocer concurrencia pensional.</v>
      </c>
      <c r="H20" s="102" t="str">
        <f>'1115-F02 Informe PM'!I31</f>
        <v>Documento</v>
      </c>
      <c r="I20" s="102">
        <f>'1115-F02 Informe PM'!J31</f>
        <v>1</v>
      </c>
      <c r="J20" s="103">
        <f>'1115-F02 Informe PM'!L31</f>
        <v>44104</v>
      </c>
      <c r="K20" s="197"/>
      <c r="L20" s="104" t="str">
        <f t="shared" si="8"/>
        <v>No</v>
      </c>
      <c r="M20" s="104" t="str">
        <f t="shared" si="9"/>
        <v>No</v>
      </c>
      <c r="N20" s="104" t="str">
        <f t="shared" si="10"/>
        <v>No</v>
      </c>
      <c r="O20" s="806"/>
      <c r="P20" s="807"/>
      <c r="Q20" s="53">
        <f t="shared" si="11"/>
        <v>0</v>
      </c>
      <c r="R20" s="30">
        <f t="shared" si="0"/>
        <v>0</v>
      </c>
      <c r="S20" s="137">
        <f t="shared" si="1"/>
        <v>0</v>
      </c>
      <c r="T20" s="156" t="str">
        <f t="shared" si="2"/>
        <v>PENDIENTE</v>
      </c>
      <c r="U20" s="154">
        <f t="shared" si="3"/>
        <v>0</v>
      </c>
      <c r="V20" s="168">
        <f t="shared" si="4"/>
        <v>0</v>
      </c>
      <c r="W20" s="166">
        <f t="shared" si="5"/>
        <v>0</v>
      </c>
      <c r="X20" s="170" t="str">
        <f t="shared" si="6"/>
        <v>PENDIENTE SUBSANAR</v>
      </c>
      <c r="Y20" s="169">
        <f t="shared" si="7"/>
        <v>0</v>
      </c>
    </row>
    <row r="21" spans="1:25" s="27" customFormat="1" ht="123.75" customHeight="1" x14ac:dyDescent="0.2">
      <c r="A21" s="801">
        <f>'1115-F02 Informe PM'!A34</f>
        <v>7</v>
      </c>
      <c r="B21" s="784" t="str">
        <f>'1115-F02 Informe PM'!B34</f>
        <v>07-2019</v>
      </c>
      <c r="C21" s="798" t="str">
        <f>'1115-F02 Informe PM'!C34</f>
        <v xml:space="preserve">HALLAZGO 7 INGRESOS MATRÍCULA FINANCIERA 
Contrario a las normas citadas, la Universidad Tecnológica de Pereira, al cierre de la vigencia 2019, presentó un mayor valor por $545.570.442 en los ingresos contables por venta de servicios educativos, como resultado de las diferencias identificadas en 15.952 terceros de un total de 21.178, mediante el cruce de las siguientes bases de datos:
•	Informe de matrícula financiera, que contiene la relación de los estudiantes matriculados en los períodos académicos 2019-I y 2019-II y los respectivos pagos, detallados por número de identificación, programas académicos, jornadas, separado por pregrado nuevos, antiguos y posgrado.
•	Base de datos 2: Ingresos por prestación de servicios educativos, según saldos contables por terceros, correspondientes las cuentas 4305, 4390 y 4395, las cuales integran los diferentes conceptos que afectan la matrícula. 
Así mismo, se evidenció que los pagos efectuados por el ICETEX por $7.059.236.271, no fueron afectados en forma detallada por estudiante beneficiario, en el software de matrícula financiera, ni en contabilidad. </v>
      </c>
      <c r="D21" s="784" t="str">
        <f>'1115-F02 Informe PM'!D34</f>
        <v>Debilidades en la conciliación y ajustes de los registros contables de ingresos al cierre de la vigencia, en la depuración de saldos por terceros y en los controles del software de matrícula financiera</v>
      </c>
      <c r="E21" s="784" t="e">
        <f>'1115-F02 Informe PM'!#REF!</f>
        <v>#REF!</v>
      </c>
      <c r="F21" s="784" t="str">
        <f>'1115-F02 Informe PM'!F34</f>
        <v xml:space="preserve"> Revisión de las cuentas contables y presupuestales para el ingreso correspondiente a matriculas y programas de acceso y permanencia a la educación superior</v>
      </c>
      <c r="G21" s="80" t="str">
        <f>'1115-F02 Informe PM'!G34</f>
        <v>Realizar Reunión con el equipo financiero para validar las cuentas contables y las cuentas presupuestales</v>
      </c>
      <c r="H21" s="80" t="str">
        <f>'1115-F02 Informe PM'!I34</f>
        <v>Documento</v>
      </c>
      <c r="I21" s="80">
        <f>'1115-F02 Informe PM'!J34</f>
        <v>1</v>
      </c>
      <c r="J21" s="81">
        <f>'1115-F02 Informe PM'!L34</f>
        <v>44286</v>
      </c>
      <c r="K21" s="196"/>
      <c r="L21" s="74" t="str">
        <f t="shared" si="8"/>
        <v>No</v>
      </c>
      <c r="M21" s="74" t="str">
        <f t="shared" si="9"/>
        <v>No</v>
      </c>
      <c r="N21" s="74" t="str">
        <f t="shared" si="10"/>
        <v>No</v>
      </c>
      <c r="O21" s="825"/>
      <c r="P21" s="822"/>
      <c r="Q21" s="35">
        <f t="shared" si="11"/>
        <v>0</v>
      </c>
      <c r="R21" s="26">
        <f>Q21/3</f>
        <v>0</v>
      </c>
      <c r="S21" s="833" t="e">
        <f>(R21+R22+R23)/$S$10</f>
        <v>#REF!</v>
      </c>
      <c r="T21" s="835" t="e">
        <f t="shared" si="2"/>
        <v>#REF!</v>
      </c>
      <c r="U21" s="835" t="e">
        <f t="shared" si="3"/>
        <v>#REF!</v>
      </c>
      <c r="V21" s="844" t="e">
        <f t="shared" si="4"/>
        <v>#REF!</v>
      </c>
      <c r="W21" s="837" t="e">
        <f t="shared" si="5"/>
        <v>#REF!</v>
      </c>
      <c r="X21" s="840" t="e">
        <f t="shared" si="6"/>
        <v>#REF!</v>
      </c>
      <c r="Y21" s="850" t="e">
        <f t="shared" si="7"/>
        <v>#REF!</v>
      </c>
    </row>
    <row r="22" spans="1:25" s="27" customFormat="1" ht="102.75" customHeight="1" x14ac:dyDescent="0.2">
      <c r="A22" s="802"/>
      <c r="B22" s="785"/>
      <c r="C22" s="799"/>
      <c r="D22" s="785"/>
      <c r="E22" s="785"/>
      <c r="F22" s="785"/>
      <c r="G22" s="107" t="e">
        <f>'1115-F02 Informe PM'!#REF!</f>
        <v>#REF!</v>
      </c>
      <c r="H22" s="107" t="e">
        <f>'1115-F02 Informe PM'!#REF!</f>
        <v>#REF!</v>
      </c>
      <c r="I22" s="107" t="e">
        <f>'1115-F02 Informe PM'!#REF!</f>
        <v>#REF!</v>
      </c>
      <c r="J22" s="108" t="e">
        <f>'1115-F02 Informe PM'!#REF!</f>
        <v>#REF!</v>
      </c>
      <c r="K22" s="198"/>
      <c r="L22" s="75" t="e">
        <f t="shared" si="8"/>
        <v>#REF!</v>
      </c>
      <c r="M22" s="75" t="e">
        <f t="shared" si="9"/>
        <v>#REF!</v>
      </c>
      <c r="N22" s="75" t="e">
        <f t="shared" si="10"/>
        <v>#REF!</v>
      </c>
      <c r="O22" s="812"/>
      <c r="P22" s="813"/>
      <c r="Q22" s="36" t="e">
        <f t="shared" si="11"/>
        <v>#REF!</v>
      </c>
      <c r="R22" s="28" t="e">
        <f>Q22/3</f>
        <v>#REF!</v>
      </c>
      <c r="S22" s="834"/>
      <c r="T22" s="836"/>
      <c r="U22" s="836"/>
      <c r="V22" s="845"/>
      <c r="W22" s="838"/>
      <c r="X22" s="841"/>
      <c r="Y22" s="851"/>
    </row>
    <row r="23" spans="1:25" s="27" customFormat="1" ht="102.75" customHeight="1" thickBot="1" x14ac:dyDescent="0.25">
      <c r="A23" s="805"/>
      <c r="B23" s="786"/>
      <c r="C23" s="804"/>
      <c r="D23" s="786"/>
      <c r="E23" s="786"/>
      <c r="F23" s="786"/>
      <c r="G23" s="112" t="e">
        <f>'1115-F02 Informe PM'!#REF!</f>
        <v>#REF!</v>
      </c>
      <c r="H23" s="112" t="e">
        <f>'1115-F02 Informe PM'!#REF!</f>
        <v>#REF!</v>
      </c>
      <c r="I23" s="112" t="e">
        <f>'1115-F02 Informe PM'!#REF!</f>
        <v>#REF!</v>
      </c>
      <c r="J23" s="113" t="e">
        <f>'1115-F02 Informe PM'!#REF!</f>
        <v>#REF!</v>
      </c>
      <c r="K23" s="199"/>
      <c r="L23" s="76" t="e">
        <f t="shared" si="8"/>
        <v>#REF!</v>
      </c>
      <c r="M23" s="76" t="e">
        <f t="shared" si="9"/>
        <v>#REF!</v>
      </c>
      <c r="N23" s="76" t="e">
        <f t="shared" si="10"/>
        <v>#REF!</v>
      </c>
      <c r="O23" s="819"/>
      <c r="P23" s="820"/>
      <c r="Q23" s="48" t="e">
        <f t="shared" si="11"/>
        <v>#REF!</v>
      </c>
      <c r="R23" s="49" t="e">
        <f>Q23/3</f>
        <v>#REF!</v>
      </c>
      <c r="S23" s="847"/>
      <c r="T23" s="843"/>
      <c r="U23" s="843"/>
      <c r="V23" s="846"/>
      <c r="W23" s="839"/>
      <c r="X23" s="842"/>
      <c r="Y23" s="852"/>
    </row>
    <row r="24" spans="1:25" s="27" customFormat="1" ht="90" customHeight="1" x14ac:dyDescent="0.2">
      <c r="A24" s="816">
        <f>'1115-F02 Informe PM'!A38</f>
        <v>8</v>
      </c>
      <c r="B24" s="814" t="str">
        <f>'1115-F02 Informe PM'!B38</f>
        <v>08-2019</v>
      </c>
      <c r="C24" s="815" t="str">
        <f>'1115-F02 Informe PM'!C38</f>
        <v>HALLAZGO 8 REGISTRO PARA PROVISIONES DE LITIGIOS Y DEMANDAS 
La Universidad Tecnológica de Pereira – UTP registró provisiones y ajustes a provisiones para litigios y demandas, incurriendo en subestimaciones y sobreestimaciones de las cuentas de ingresos y de gastos que alteraron el resultado del periodo contable 2019 en $35.037.528; así (Ver tabla 12 Informe)
Igualmente se evidenció, sobreestimación de la cuenta 2460 Créditos Judiciales por $28.548.528, toda vez que la UTP canceló al beneficiario del registro el valor total conciliado por $56.875.424, de los cuales $6.093.795 de destinaron al pago de aportes de seguridad social, de conformidad con la Resolución de Rectoría 8629 del 16/12/2019. Como consecuencia del pago total del acuerdo conciliatorio, el saldo por pagar registrado a 31/12/2019 en la cuenta 2460 Créditos judiciales debía ser $0. El reconocimiento inicial de la cuenta por pagar fue de $85.423.952.</v>
      </c>
      <c r="D24" s="814" t="str">
        <f>'1115-F02 Informe PM'!D38</f>
        <v>Debilidades de control y seguimiento en el proceso de registro de los procesos judiciales</v>
      </c>
      <c r="E24" s="814" t="e">
        <f>'1115-F02 Informe PM'!#REF!</f>
        <v>#REF!</v>
      </c>
      <c r="F24" s="814" t="str">
        <f>'1115-F02 Informe PM'!F38</f>
        <v xml:space="preserve">Revisión del auxiliar Litigios y  Demandas tercero por tercero trimestralmente.                                                                                                                                                                                                                      </v>
      </c>
      <c r="G24" s="105" t="str">
        <f>'1115-F02 Informe PM'!G38</f>
        <v>Conciliar cada tercero cuenta por cuenta a los cuales se les realizará ajuste de provisión de acuerdo a la información enviada cada trimestre por la oficina de jurídica.</v>
      </c>
      <c r="H24" s="105" t="str">
        <f>'1115-F02 Informe PM'!I38</f>
        <v>Documento</v>
      </c>
      <c r="I24" s="105">
        <f>'1115-F02 Informe PM'!J38</f>
        <v>4</v>
      </c>
      <c r="J24" s="106">
        <f>'1115-F02 Informe PM'!L38</f>
        <v>44285</v>
      </c>
      <c r="K24" s="195"/>
      <c r="L24" s="77" t="str">
        <f t="shared" si="8"/>
        <v>No</v>
      </c>
      <c r="M24" s="77" t="str">
        <f t="shared" si="9"/>
        <v>No</v>
      </c>
      <c r="N24" s="146" t="str">
        <f t="shared" si="10"/>
        <v>No</v>
      </c>
      <c r="O24" s="821"/>
      <c r="P24" s="822"/>
      <c r="Q24" s="35">
        <f t="shared" si="11"/>
        <v>0</v>
      </c>
      <c r="R24" s="26">
        <f>Q24/2</f>
        <v>0</v>
      </c>
      <c r="S24" s="833" t="e">
        <f>(R24+R25)/$S$10</f>
        <v>#REF!</v>
      </c>
      <c r="T24" s="835" t="e">
        <f>IF(S24=$T$10, "FINALIZADA", "PENDIENTE")</f>
        <v>#REF!</v>
      </c>
      <c r="U24" s="835" t="e">
        <f>S24/$T$10</f>
        <v>#REF!</v>
      </c>
      <c r="V24" s="844" t="e">
        <f>U24/2</f>
        <v>#REF!</v>
      </c>
      <c r="W24" s="837" t="e">
        <f>(V24+V26)/$S$11</f>
        <v>#REF!</v>
      </c>
      <c r="X24" s="840" t="e">
        <f>IF(W24=$T$11, "SUBSANADO", "PENDIENTE SUBSANAR")</f>
        <v>#REF!</v>
      </c>
      <c r="Y24" s="850" t="e">
        <f>W24/$T$11</f>
        <v>#REF!</v>
      </c>
    </row>
    <row r="25" spans="1:25" s="27" customFormat="1" ht="44.25" customHeight="1" x14ac:dyDescent="0.2">
      <c r="A25" s="802"/>
      <c r="B25" s="785"/>
      <c r="C25" s="799"/>
      <c r="D25" s="785"/>
      <c r="E25" s="785"/>
      <c r="F25" s="785"/>
      <c r="G25" s="107" t="e">
        <f>'1115-F02 Informe PM'!#REF!</f>
        <v>#REF!</v>
      </c>
      <c r="H25" s="107" t="e">
        <f>'1115-F02 Informe PM'!#REF!</f>
        <v>#REF!</v>
      </c>
      <c r="I25" s="107" t="e">
        <f>'1115-F02 Informe PM'!#REF!</f>
        <v>#REF!</v>
      </c>
      <c r="J25" s="108" t="e">
        <f>'1115-F02 Informe PM'!#REF!</f>
        <v>#REF!</v>
      </c>
      <c r="K25" s="198"/>
      <c r="L25" s="75" t="e">
        <f t="shared" si="8"/>
        <v>#REF!</v>
      </c>
      <c r="M25" s="75" t="e">
        <f t="shared" si="9"/>
        <v>#REF!</v>
      </c>
      <c r="N25" s="147" t="e">
        <f t="shared" si="10"/>
        <v>#REF!</v>
      </c>
      <c r="O25" s="823"/>
      <c r="P25" s="813"/>
      <c r="Q25" s="36" t="e">
        <f t="shared" si="11"/>
        <v>#REF!</v>
      </c>
      <c r="R25" s="28" t="e">
        <f>Q25/2</f>
        <v>#REF!</v>
      </c>
      <c r="S25" s="834"/>
      <c r="T25" s="836"/>
      <c r="U25" s="836"/>
      <c r="V25" s="845"/>
      <c r="W25" s="838"/>
      <c r="X25" s="841"/>
      <c r="Y25" s="851"/>
    </row>
    <row r="26" spans="1:25" s="27" customFormat="1" ht="58.5" customHeight="1" x14ac:dyDescent="0.2">
      <c r="A26" s="802"/>
      <c r="B26" s="785"/>
      <c r="C26" s="799"/>
      <c r="D26" s="785"/>
      <c r="E26" s="785" t="e">
        <f>'1115-F02 Informe PM'!#REF!</f>
        <v>#REF!</v>
      </c>
      <c r="F26" s="785" t="e">
        <f>'1115-F02 Informe PM'!#REF!</f>
        <v>#REF!</v>
      </c>
      <c r="G26" s="107" t="e">
        <f>'1115-F02 Informe PM'!#REF!</f>
        <v>#REF!</v>
      </c>
      <c r="H26" s="107" t="e">
        <f>'1115-F02 Informe PM'!#REF!</f>
        <v>#REF!</v>
      </c>
      <c r="I26" s="107" t="e">
        <f>'1115-F02 Informe PM'!#REF!</f>
        <v>#REF!</v>
      </c>
      <c r="J26" s="108" t="e">
        <f>'1115-F02 Informe PM'!#REF!</f>
        <v>#REF!</v>
      </c>
      <c r="K26" s="198"/>
      <c r="L26" s="75" t="e">
        <f t="shared" si="8"/>
        <v>#REF!</v>
      </c>
      <c r="M26" s="75" t="e">
        <f t="shared" si="9"/>
        <v>#REF!</v>
      </c>
      <c r="N26" s="147" t="e">
        <f t="shared" si="10"/>
        <v>#REF!</v>
      </c>
      <c r="O26" s="823"/>
      <c r="P26" s="813"/>
      <c r="Q26" s="36" t="e">
        <f t="shared" si="11"/>
        <v>#REF!</v>
      </c>
      <c r="R26" s="28" t="e">
        <f>Q26/4</f>
        <v>#REF!</v>
      </c>
      <c r="S26" s="834" t="e">
        <f>(R26+R27+R28+R29)/$S$10</f>
        <v>#REF!</v>
      </c>
      <c r="T26" s="836" t="e">
        <f>IF(S26=$T$10, "FINALIZADA", "PENDIENTE")</f>
        <v>#REF!</v>
      </c>
      <c r="U26" s="836" t="e">
        <f>S26/$T$10</f>
        <v>#REF!</v>
      </c>
      <c r="V26" s="845" t="e">
        <f>U26/2</f>
        <v>#REF!</v>
      </c>
      <c r="W26" s="838"/>
      <c r="X26" s="841"/>
      <c r="Y26" s="851"/>
    </row>
    <row r="27" spans="1:25" s="27" customFormat="1" ht="57.75" customHeight="1" x14ac:dyDescent="0.2">
      <c r="A27" s="802"/>
      <c r="B27" s="785"/>
      <c r="C27" s="799"/>
      <c r="D27" s="785"/>
      <c r="E27" s="785"/>
      <c r="F27" s="785"/>
      <c r="G27" s="107" t="e">
        <f>'1115-F02 Informe PM'!#REF!</f>
        <v>#REF!</v>
      </c>
      <c r="H27" s="107" t="e">
        <f>'1115-F02 Informe PM'!#REF!</f>
        <v>#REF!</v>
      </c>
      <c r="I27" s="107" t="e">
        <f>'1115-F02 Informe PM'!#REF!</f>
        <v>#REF!</v>
      </c>
      <c r="J27" s="108" t="e">
        <f>'1115-F02 Informe PM'!#REF!</f>
        <v>#REF!</v>
      </c>
      <c r="K27" s="198"/>
      <c r="L27" s="75" t="e">
        <f t="shared" si="8"/>
        <v>#REF!</v>
      </c>
      <c r="M27" s="75" t="e">
        <f t="shared" si="9"/>
        <v>#REF!</v>
      </c>
      <c r="N27" s="147" t="e">
        <f t="shared" si="10"/>
        <v>#REF!</v>
      </c>
      <c r="O27" s="823"/>
      <c r="P27" s="813"/>
      <c r="Q27" s="36" t="e">
        <f t="shared" si="11"/>
        <v>#REF!</v>
      </c>
      <c r="R27" s="28" t="e">
        <f>Q27/4</f>
        <v>#REF!</v>
      </c>
      <c r="S27" s="834"/>
      <c r="T27" s="836"/>
      <c r="U27" s="836"/>
      <c r="V27" s="845"/>
      <c r="W27" s="838"/>
      <c r="X27" s="841"/>
      <c r="Y27" s="851"/>
    </row>
    <row r="28" spans="1:25" s="27" customFormat="1" ht="67.5" customHeight="1" x14ac:dyDescent="0.2">
      <c r="A28" s="802"/>
      <c r="B28" s="785"/>
      <c r="C28" s="799"/>
      <c r="D28" s="785"/>
      <c r="E28" s="785"/>
      <c r="F28" s="785"/>
      <c r="G28" s="107" t="e">
        <f>'1115-F02 Informe PM'!#REF!</f>
        <v>#REF!</v>
      </c>
      <c r="H28" s="107" t="e">
        <f>'1115-F02 Informe PM'!#REF!</f>
        <v>#REF!</v>
      </c>
      <c r="I28" s="107" t="e">
        <f>'1115-F02 Informe PM'!#REF!</f>
        <v>#REF!</v>
      </c>
      <c r="J28" s="108" t="e">
        <f>'1115-F02 Informe PM'!#REF!</f>
        <v>#REF!</v>
      </c>
      <c r="K28" s="198"/>
      <c r="L28" s="75" t="e">
        <f t="shared" si="8"/>
        <v>#REF!</v>
      </c>
      <c r="M28" s="75" t="e">
        <f t="shared" si="9"/>
        <v>#REF!</v>
      </c>
      <c r="N28" s="147" t="e">
        <f t="shared" si="10"/>
        <v>#REF!</v>
      </c>
      <c r="O28" s="823"/>
      <c r="P28" s="813"/>
      <c r="Q28" s="36" t="e">
        <f t="shared" si="11"/>
        <v>#REF!</v>
      </c>
      <c r="R28" s="28" t="e">
        <f>Q28/4</f>
        <v>#REF!</v>
      </c>
      <c r="S28" s="834"/>
      <c r="T28" s="836"/>
      <c r="U28" s="836"/>
      <c r="V28" s="845"/>
      <c r="W28" s="838"/>
      <c r="X28" s="841"/>
      <c r="Y28" s="851"/>
    </row>
    <row r="29" spans="1:25" s="27" customFormat="1" ht="62.25" customHeight="1" thickBot="1" x14ac:dyDescent="0.25">
      <c r="A29" s="803"/>
      <c r="B29" s="797"/>
      <c r="C29" s="800"/>
      <c r="D29" s="797"/>
      <c r="E29" s="797"/>
      <c r="F29" s="797"/>
      <c r="G29" s="118" t="e">
        <f>'1115-F02 Informe PM'!#REF!</f>
        <v>#REF!</v>
      </c>
      <c r="H29" s="118" t="e">
        <f>'1115-F02 Informe PM'!#REF!</f>
        <v>#REF!</v>
      </c>
      <c r="I29" s="118" t="e">
        <f>'1115-F02 Informe PM'!#REF!</f>
        <v>#REF!</v>
      </c>
      <c r="J29" s="119" t="e">
        <f>'1115-F02 Informe PM'!#REF!</f>
        <v>#REF!</v>
      </c>
      <c r="K29" s="200"/>
      <c r="L29" s="120" t="e">
        <f t="shared" si="8"/>
        <v>#REF!</v>
      </c>
      <c r="M29" s="120" t="e">
        <f t="shared" si="9"/>
        <v>#REF!</v>
      </c>
      <c r="N29" s="148" t="e">
        <f t="shared" si="10"/>
        <v>#REF!</v>
      </c>
      <c r="O29" s="808"/>
      <c r="P29" s="809"/>
      <c r="Q29" s="48" t="e">
        <f t="shared" si="11"/>
        <v>#REF!</v>
      </c>
      <c r="R29" s="49" t="e">
        <f>Q29/4</f>
        <v>#REF!</v>
      </c>
      <c r="S29" s="847"/>
      <c r="T29" s="843"/>
      <c r="U29" s="843"/>
      <c r="V29" s="846"/>
      <c r="W29" s="839"/>
      <c r="X29" s="842"/>
      <c r="Y29" s="852"/>
    </row>
    <row r="30" spans="1:25" s="27" customFormat="1" ht="147.75" customHeight="1" x14ac:dyDescent="0.2">
      <c r="A30" s="801" t="e">
        <f>'1115-F02 Informe PM'!#REF!</f>
        <v>#REF!</v>
      </c>
      <c r="B30" s="784" t="e">
        <f>'1115-F02 Informe PM'!#REF!</f>
        <v>#REF!</v>
      </c>
      <c r="C30" s="798" t="e">
        <f>'1115-F02 Informe PM'!#REF!</f>
        <v>#REF!</v>
      </c>
      <c r="D30" s="784" t="e">
        <f>'1115-F02 Informe PM'!#REF!</f>
        <v>#REF!</v>
      </c>
      <c r="E30" s="110" t="e">
        <f>'1115-F02 Informe PM'!#REF!</f>
        <v>#REF!</v>
      </c>
      <c r="F30" s="110" t="e">
        <f>'1115-F02 Informe PM'!#REF!</f>
        <v>#REF!</v>
      </c>
      <c r="G30" s="80" t="e">
        <f>'1115-F02 Informe PM'!#REF!</f>
        <v>#REF!</v>
      </c>
      <c r="H30" s="80" t="e">
        <f>'1115-F02 Informe PM'!#REF!</f>
        <v>#REF!</v>
      </c>
      <c r="I30" s="80" t="e">
        <f>'1115-F02 Informe PM'!#REF!</f>
        <v>#REF!</v>
      </c>
      <c r="J30" s="81" t="e">
        <f>'1115-F02 Informe PM'!#REF!</f>
        <v>#REF!</v>
      </c>
      <c r="K30" s="196"/>
      <c r="L30" s="74" t="e">
        <f t="shared" si="8"/>
        <v>#REF!</v>
      </c>
      <c r="M30" s="74" t="e">
        <f t="shared" si="9"/>
        <v>#REF!</v>
      </c>
      <c r="N30" s="74" t="e">
        <f t="shared" si="10"/>
        <v>#REF!</v>
      </c>
      <c r="O30" s="810"/>
      <c r="P30" s="811"/>
      <c r="Q30" s="35" t="e">
        <f t="shared" si="11"/>
        <v>#REF!</v>
      </c>
      <c r="R30" s="26" t="e">
        <f>Q30/1</f>
        <v>#REF!</v>
      </c>
      <c r="S30" s="39" t="e">
        <f>(R30)/$S$10</f>
        <v>#REF!</v>
      </c>
      <c r="T30" s="144" t="e">
        <f>IF(S30=$T$10, "FINALIZADA", "PENDIENTE")</f>
        <v>#REF!</v>
      </c>
      <c r="U30" s="149" t="e">
        <f>S30/$T$10</f>
        <v>#REF!</v>
      </c>
      <c r="V30" s="167" t="e">
        <f>U30/3</f>
        <v>#REF!</v>
      </c>
      <c r="W30" s="837" t="e">
        <f>(V30+V31+V32)/$S$11</f>
        <v>#REF!</v>
      </c>
      <c r="X30" s="840" t="e">
        <f>IF(W30=$T$11, "SUBSANADO", "PENDIENTE SUBSANAR")</f>
        <v>#REF!</v>
      </c>
      <c r="Y30" s="850" t="e">
        <f>W30/$T$11</f>
        <v>#REF!</v>
      </c>
    </row>
    <row r="31" spans="1:25" s="27" customFormat="1" ht="102.75" customHeight="1" x14ac:dyDescent="0.2">
      <c r="A31" s="802"/>
      <c r="B31" s="785"/>
      <c r="C31" s="799"/>
      <c r="D31" s="785"/>
      <c r="E31" s="785" t="e">
        <f>'1115-F02 Informe PM'!#REF!</f>
        <v>#REF!</v>
      </c>
      <c r="F31" s="121" t="e">
        <f>'1115-F02 Informe PM'!#REF!</f>
        <v>#REF!</v>
      </c>
      <c r="G31" s="107" t="e">
        <f>'1115-F02 Informe PM'!#REF!</f>
        <v>#REF!</v>
      </c>
      <c r="H31" s="107" t="e">
        <f>'1115-F02 Informe PM'!#REF!</f>
        <v>#REF!</v>
      </c>
      <c r="I31" s="107" t="e">
        <f>'1115-F02 Informe PM'!#REF!</f>
        <v>#REF!</v>
      </c>
      <c r="J31" s="108" t="e">
        <f>'1115-F02 Informe PM'!#REF!</f>
        <v>#REF!</v>
      </c>
      <c r="K31" s="198"/>
      <c r="L31" s="75" t="e">
        <f>IF(AND(K31&lt;I31, K31&gt;0),"Si","No")</f>
        <v>#REF!</v>
      </c>
      <c r="M31" s="75" t="e">
        <f>IF(AND($D$11&gt;J31,K31&lt;I31),"Vencida","No")</f>
        <v>#REF!</v>
      </c>
      <c r="N31" s="75" t="e">
        <f>IF(K31=I31,"Finalizada","No")</f>
        <v>#REF!</v>
      </c>
      <c r="O31" s="812"/>
      <c r="P31" s="813"/>
      <c r="Q31" s="36" t="e">
        <f t="shared" si="11"/>
        <v>#REF!</v>
      </c>
      <c r="R31" s="28" t="e">
        <f>Q31/1</f>
        <v>#REF!</v>
      </c>
      <c r="S31" s="138" t="e">
        <f>(R31)/$S$10</f>
        <v>#REF!</v>
      </c>
      <c r="T31" s="143" t="e">
        <f>IF(S31=$T$10, "FINALIZADA", "PENDIENTE")</f>
        <v>#REF!</v>
      </c>
      <c r="U31" s="142" t="e">
        <f>S31/$T$10</f>
        <v>#REF!</v>
      </c>
      <c r="V31" s="162" t="e">
        <f>U31/3</f>
        <v>#REF!</v>
      </c>
      <c r="W31" s="838"/>
      <c r="X31" s="841"/>
      <c r="Y31" s="851"/>
    </row>
    <row r="32" spans="1:25" s="27" customFormat="1" ht="58.5" customHeight="1" x14ac:dyDescent="0.2">
      <c r="A32" s="802"/>
      <c r="B32" s="785"/>
      <c r="C32" s="799"/>
      <c r="D32" s="785"/>
      <c r="E32" s="785"/>
      <c r="F32" s="785" t="e">
        <f>'1115-F02 Informe PM'!#REF!</f>
        <v>#REF!</v>
      </c>
      <c r="G32" s="107" t="e">
        <f>'1115-F02 Informe PM'!#REF!</f>
        <v>#REF!</v>
      </c>
      <c r="H32" s="107" t="e">
        <f>'1115-F02 Informe PM'!#REF!</f>
        <v>#REF!</v>
      </c>
      <c r="I32" s="107" t="e">
        <f>'1115-F02 Informe PM'!#REF!</f>
        <v>#REF!</v>
      </c>
      <c r="J32" s="108" t="e">
        <f>'1115-F02 Informe PM'!#REF!</f>
        <v>#REF!</v>
      </c>
      <c r="K32" s="198"/>
      <c r="L32" s="75" t="e">
        <f>IF(AND(K32&lt;I32, K32&gt;0),"Si","No")</f>
        <v>#REF!</v>
      </c>
      <c r="M32" s="75" t="e">
        <f>IF(AND($D$11&gt;J32,K32&lt;I32),"Vencida","No")</f>
        <v>#REF!</v>
      </c>
      <c r="N32" s="75" t="e">
        <f>IF(K32=I32,"Finalizada","No")</f>
        <v>#REF!</v>
      </c>
      <c r="O32" s="812"/>
      <c r="P32" s="813"/>
      <c r="Q32" s="36" t="e">
        <f t="shared" si="11"/>
        <v>#REF!</v>
      </c>
      <c r="R32" s="28" t="e">
        <f>Q32/2</f>
        <v>#REF!</v>
      </c>
      <c r="S32" s="834" t="e">
        <f>(R32+R33)/$S$10</f>
        <v>#REF!</v>
      </c>
      <c r="T32" s="836" t="e">
        <f>IF(S32=$T$10, "FINALIZADA", "PENDIENTE")</f>
        <v>#REF!</v>
      </c>
      <c r="U32" s="836" t="e">
        <f>S32/$T$10</f>
        <v>#REF!</v>
      </c>
      <c r="V32" s="845" t="e">
        <f>U32/3</f>
        <v>#REF!</v>
      </c>
      <c r="W32" s="838"/>
      <c r="X32" s="841"/>
      <c r="Y32" s="851"/>
    </row>
    <row r="33" spans="1:25" s="27" customFormat="1" ht="72.75" customHeight="1" thickBot="1" x14ac:dyDescent="0.25">
      <c r="A33" s="803"/>
      <c r="B33" s="797"/>
      <c r="C33" s="800"/>
      <c r="D33" s="797"/>
      <c r="E33" s="797"/>
      <c r="F33" s="797"/>
      <c r="G33" s="118" t="e">
        <f>'1115-F02 Informe PM'!#REF!</f>
        <v>#REF!</v>
      </c>
      <c r="H33" s="118" t="e">
        <f>'1115-F02 Informe PM'!#REF!</f>
        <v>#REF!</v>
      </c>
      <c r="I33" s="118" t="e">
        <f>'1115-F02 Informe PM'!#REF!</f>
        <v>#REF!</v>
      </c>
      <c r="J33" s="119" t="e">
        <f>'1115-F02 Informe PM'!#REF!</f>
        <v>#REF!</v>
      </c>
      <c r="K33" s="200"/>
      <c r="L33" s="120" t="e">
        <f>IF(AND(K33&lt;I33, K33&gt;0),"Si","No")</f>
        <v>#REF!</v>
      </c>
      <c r="M33" s="120" t="e">
        <f>IF(AND($D$11&gt;J33,K33&lt;I33),"Vencida","No")</f>
        <v>#REF!</v>
      </c>
      <c r="N33" s="120" t="e">
        <f>IF(K33=I33,"Finalizada","No")</f>
        <v>#REF!</v>
      </c>
      <c r="O33" s="819"/>
      <c r="P33" s="820"/>
      <c r="Q33" s="48" t="e">
        <f t="shared" si="11"/>
        <v>#REF!</v>
      </c>
      <c r="R33" s="49" t="e">
        <f>Q33/2</f>
        <v>#REF!</v>
      </c>
      <c r="S33" s="847"/>
      <c r="T33" s="843"/>
      <c r="U33" s="843"/>
      <c r="V33" s="846"/>
      <c r="W33" s="839"/>
      <c r="X33" s="842"/>
      <c r="Y33" s="852"/>
    </row>
    <row r="34" spans="1:25" s="27" customFormat="1" ht="63.75" customHeight="1" x14ac:dyDescent="0.2">
      <c r="A34" s="801">
        <f>'1115-F02 Informe PM'!A41</f>
        <v>9</v>
      </c>
      <c r="B34" s="784" t="str">
        <f>'1115-F02 Informe PM'!B41</f>
        <v>09-2019</v>
      </c>
      <c r="C34" s="798" t="str">
        <f>'1115-F02 Informe PM'!C41</f>
        <v>HALLAZGO 9 COSTOS DE FINANCIACIÓN 
Contrario a lo establecido por la norma de costos de financiación, la Universidad Tecnológica de Pereira – UTP, registró como gasto en la cuenta 580435 Costo Efectivo de Préstamos por Pagar el valor de $102.766.793 por concepto del 100% de los intereses generados en 2019 por un crédito de la línea Findeter contratado en la vigencia por $10.511.836.935 y destinados al proyecto denominado “Mejoramiento de la Infraestructura de la Universidad Tecnológica de Pereira - UTP para el desarrollo de sus actividades misionales. Pereira”, debiendo capitalizar costos y registrarlos como un mayor valor de los activos por $26.587.458, como se detalla a continuación (Ver tabla 13 Informe)</v>
      </c>
      <c r="D34" s="784" t="str">
        <f>'1115-F02 Informe PM'!D41</f>
        <v>Debilidades de control y seguimiento en las áreas involucradas en la gestión, administración, identificación, clasificación y medición de un activo apto</v>
      </c>
      <c r="E34" s="784" t="e">
        <f>'1115-F02 Informe PM'!#REF!</f>
        <v>#REF!</v>
      </c>
      <c r="F34" s="784" t="str">
        <f>'1115-F02 Informe PM'!F41</f>
        <v>Interpretación de la Norma en relación a la medición de los Costos de Financiación.</v>
      </c>
      <c r="G34" s="80" t="str">
        <f>'1115-F02 Informe PM'!G41</f>
        <v>Realizar la socialización con la Oficina de Planeación y Tesorería de la interpretación de la norma de costos de financiación de acuerde al Nuevo Marco Normativo para Entidades de Gobierno con los involucrados</v>
      </c>
      <c r="H34" s="80" t="str">
        <f>'1115-F02 Informe PM'!I41</f>
        <v>Documento</v>
      </c>
      <c r="I34" s="80">
        <f>'1115-F02 Informe PM'!J41</f>
        <v>1</v>
      </c>
      <c r="J34" s="81">
        <f>'1115-F02 Informe PM'!L41</f>
        <v>44165</v>
      </c>
      <c r="K34" s="196"/>
      <c r="L34" s="74" t="str">
        <f>IF(AND(K34&lt;I34, K34&gt;0),"Si","No")</f>
        <v>No</v>
      </c>
      <c r="M34" s="74" t="str">
        <f>IF(AND($D$11&gt;J34,K34&lt;I34),"Vencida","No")</f>
        <v>No</v>
      </c>
      <c r="N34" s="74" t="str">
        <f>IF(K34=I34,"Finalizada","No")</f>
        <v>No</v>
      </c>
      <c r="O34" s="812"/>
      <c r="P34" s="813"/>
      <c r="Q34" s="35">
        <f t="shared" si="11"/>
        <v>0</v>
      </c>
      <c r="R34" s="26">
        <f>Q34/4</f>
        <v>0</v>
      </c>
      <c r="S34" s="833" t="e">
        <f>(R34+R35+R36+R37)/$S$10</f>
        <v>#REF!</v>
      </c>
      <c r="T34" s="835" t="e">
        <f>IF(S34=$T$10, "FINALIZADA", "PENDIENTE")</f>
        <v>#REF!</v>
      </c>
      <c r="U34" s="835" t="e">
        <f>S34/$T$10</f>
        <v>#REF!</v>
      </c>
      <c r="V34" s="844" t="e">
        <f>U34/1</f>
        <v>#REF!</v>
      </c>
      <c r="W34" s="837" t="e">
        <f>V34/$S$11</f>
        <v>#REF!</v>
      </c>
      <c r="X34" s="840" t="e">
        <f>IF(W34=$T$11, "SUBSANADO", "PENDIENTE SUBSANAR")</f>
        <v>#REF!</v>
      </c>
      <c r="Y34" s="850" t="e">
        <f>W34/$T$11</f>
        <v>#REF!</v>
      </c>
    </row>
    <row r="35" spans="1:25" s="27" customFormat="1" ht="40.5" customHeight="1" x14ac:dyDescent="0.2">
      <c r="A35" s="802"/>
      <c r="B35" s="785"/>
      <c r="C35" s="799"/>
      <c r="D35" s="785"/>
      <c r="E35" s="785"/>
      <c r="F35" s="785"/>
      <c r="G35" s="107" t="e">
        <f>'1115-F02 Informe PM'!#REF!</f>
        <v>#REF!</v>
      </c>
      <c r="H35" s="107" t="e">
        <f>'1115-F02 Informe PM'!#REF!</f>
        <v>#REF!</v>
      </c>
      <c r="I35" s="107" t="e">
        <f>'1115-F02 Informe PM'!#REF!</f>
        <v>#REF!</v>
      </c>
      <c r="J35" s="108" t="e">
        <f>'1115-F02 Informe PM'!#REF!</f>
        <v>#REF!</v>
      </c>
      <c r="K35" s="198"/>
      <c r="L35" s="75" t="e">
        <f t="shared" ref="L35:L41" si="12">IF(AND(K35&lt;I35, K35&gt;0),"Si","No")</f>
        <v>#REF!</v>
      </c>
      <c r="M35" s="75" t="e">
        <f t="shared" ref="M35:M41" si="13">IF(AND($D$11&gt;J35,K35&lt;I35),"Vencida","No")</f>
        <v>#REF!</v>
      </c>
      <c r="N35" s="75" t="e">
        <f t="shared" ref="N35:N41" si="14">IF(K35=I35,"Finalizada","No")</f>
        <v>#REF!</v>
      </c>
      <c r="O35" s="812"/>
      <c r="P35" s="813"/>
      <c r="Q35" s="36" t="e">
        <f t="shared" si="11"/>
        <v>#REF!</v>
      </c>
      <c r="R35" s="28" t="e">
        <f>Q35/4</f>
        <v>#REF!</v>
      </c>
      <c r="S35" s="834"/>
      <c r="T35" s="836"/>
      <c r="U35" s="836"/>
      <c r="V35" s="845"/>
      <c r="W35" s="838"/>
      <c r="X35" s="841"/>
      <c r="Y35" s="851"/>
    </row>
    <row r="36" spans="1:25" s="27" customFormat="1" ht="56.25" customHeight="1" x14ac:dyDescent="0.2">
      <c r="A36" s="802"/>
      <c r="B36" s="785"/>
      <c r="C36" s="799"/>
      <c r="D36" s="785"/>
      <c r="E36" s="785"/>
      <c r="F36" s="785"/>
      <c r="G36" s="107" t="e">
        <f>'1115-F02 Informe PM'!#REF!</f>
        <v>#REF!</v>
      </c>
      <c r="H36" s="107" t="e">
        <f>'1115-F02 Informe PM'!#REF!</f>
        <v>#REF!</v>
      </c>
      <c r="I36" s="107" t="e">
        <f>'1115-F02 Informe PM'!#REF!</f>
        <v>#REF!</v>
      </c>
      <c r="J36" s="108" t="e">
        <f>'1115-F02 Informe PM'!#REF!</f>
        <v>#REF!</v>
      </c>
      <c r="K36" s="198"/>
      <c r="L36" s="75" t="e">
        <f t="shared" si="12"/>
        <v>#REF!</v>
      </c>
      <c r="M36" s="75" t="e">
        <f t="shared" si="13"/>
        <v>#REF!</v>
      </c>
      <c r="N36" s="75" t="e">
        <f t="shared" si="14"/>
        <v>#REF!</v>
      </c>
      <c r="O36" s="812"/>
      <c r="P36" s="813"/>
      <c r="Q36" s="36" t="e">
        <f t="shared" si="11"/>
        <v>#REF!</v>
      </c>
      <c r="R36" s="28" t="e">
        <f>Q36/4</f>
        <v>#REF!</v>
      </c>
      <c r="S36" s="834"/>
      <c r="T36" s="836"/>
      <c r="U36" s="836"/>
      <c r="V36" s="845"/>
      <c r="W36" s="838"/>
      <c r="X36" s="841"/>
      <c r="Y36" s="851"/>
    </row>
    <row r="37" spans="1:25" s="27" customFormat="1" ht="51" customHeight="1" thickBot="1" x14ac:dyDescent="0.25">
      <c r="A37" s="803"/>
      <c r="B37" s="797"/>
      <c r="C37" s="800"/>
      <c r="D37" s="797"/>
      <c r="E37" s="797"/>
      <c r="F37" s="797"/>
      <c r="G37" s="118" t="e">
        <f>'1115-F02 Informe PM'!#REF!</f>
        <v>#REF!</v>
      </c>
      <c r="H37" s="118" t="e">
        <f>'1115-F02 Informe PM'!#REF!</f>
        <v>#REF!</v>
      </c>
      <c r="I37" s="118" t="e">
        <f>'1115-F02 Informe PM'!#REF!</f>
        <v>#REF!</v>
      </c>
      <c r="J37" s="119" t="e">
        <f>'1115-F02 Informe PM'!#REF!</f>
        <v>#REF!</v>
      </c>
      <c r="K37" s="200"/>
      <c r="L37" s="120" t="e">
        <f t="shared" si="12"/>
        <v>#REF!</v>
      </c>
      <c r="M37" s="120" t="e">
        <f t="shared" si="13"/>
        <v>#REF!</v>
      </c>
      <c r="N37" s="120" t="e">
        <f t="shared" si="14"/>
        <v>#REF!</v>
      </c>
      <c r="O37" s="812"/>
      <c r="P37" s="813"/>
      <c r="Q37" s="48" t="e">
        <f t="shared" si="11"/>
        <v>#REF!</v>
      </c>
      <c r="R37" s="49" t="e">
        <f>Q37/4</f>
        <v>#REF!</v>
      </c>
      <c r="S37" s="847"/>
      <c r="T37" s="843"/>
      <c r="U37" s="843"/>
      <c r="V37" s="846"/>
      <c r="W37" s="839"/>
      <c r="X37" s="842"/>
      <c r="Y37" s="852"/>
    </row>
    <row r="38" spans="1:25" s="27" customFormat="1" ht="94.5" customHeight="1" x14ac:dyDescent="0.2">
      <c r="A38" s="801">
        <f>'1115-F02 Informe PM'!A44</f>
        <v>10</v>
      </c>
      <c r="B38" s="784" t="str">
        <f>'1115-F02 Informe PM'!B44</f>
        <v>10-2019</v>
      </c>
      <c r="C38" s="798" t="str">
        <f>'1115-F02 Informe PM'!C44</f>
        <v>HALLAZGO 10 CONTRATO 5641 DE 2018 BLOQUE HORTICULTURA 
En visita técnica realizada a la Universidad Tecnológica de Pereira, a las obras ejecutadas según contrato de obra 5641 de 2018, se evidenció lo siguiente: 
Contrato de obra 5641 de 2018: Valor $610.710.888. Objeto: construcción de módulo académico para el programa de producción hortícola de la UTP. Se evidenció en la inspección ocular a la obra, lo siguiente (Ver Tabla 14 Informe)</v>
      </c>
      <c r="D38" s="784" t="str">
        <f>'1115-F02 Informe PM'!D44</f>
        <v>Debilidades y falencias en las actividades de planeación e interventoría y supervisión contractual</v>
      </c>
      <c r="E38" s="784" t="e">
        <f>'1115-F02 Informe PM'!#REF!</f>
        <v>#REF!</v>
      </c>
      <c r="F38" s="784" t="str">
        <f>'1115-F02 Informe PM'!F44</f>
        <v>Definición e implementación un procedimiento de control y seguimiento para la planeación y ejecución de contratos de diseño, obra y adecuaciones</v>
      </c>
      <c r="G38" s="80" t="str">
        <f>'1115-F02 Informe PM'!G44</f>
        <v>Revisar todos los pasos para realizar el procedimiento de  control y seguimiento para la planeación y ejecución de contratos de diseño, obra y adecuaciones</v>
      </c>
      <c r="H38" s="80" t="str">
        <f>'1115-F02 Informe PM'!I44</f>
        <v>Actas de reunión</v>
      </c>
      <c r="I38" s="80">
        <f>'1115-F02 Informe PM'!J44</f>
        <v>4</v>
      </c>
      <c r="J38" s="81">
        <f>'1115-F02 Informe PM'!L44</f>
        <v>44165</v>
      </c>
      <c r="K38" s="196"/>
      <c r="L38" s="74" t="str">
        <f t="shared" si="12"/>
        <v>No</v>
      </c>
      <c r="M38" s="74" t="str">
        <f t="shared" si="13"/>
        <v>No</v>
      </c>
      <c r="N38" s="74" t="str">
        <f t="shared" si="14"/>
        <v>No</v>
      </c>
      <c r="O38" s="810"/>
      <c r="P38" s="811"/>
      <c r="Q38" s="35">
        <f t="shared" si="11"/>
        <v>0</v>
      </c>
      <c r="R38" s="26">
        <f>Q38/3</f>
        <v>0</v>
      </c>
      <c r="S38" s="833" t="e">
        <f>(R38+R39+R40)/$S$10</f>
        <v>#REF!</v>
      </c>
      <c r="T38" s="835" t="e">
        <f>IF(S38=$T$10, "FINALIZADA", "PENDIENTE")</f>
        <v>#REF!</v>
      </c>
      <c r="U38" s="835" t="e">
        <f>S38/$T$10</f>
        <v>#REF!</v>
      </c>
      <c r="V38" s="844" t="e">
        <f>U38/2</f>
        <v>#REF!</v>
      </c>
      <c r="W38" s="837" t="e">
        <f>(V38+V41)/$S$11</f>
        <v>#REF!</v>
      </c>
      <c r="X38" s="840" t="e">
        <f>IF(W38=$T$11, "SUBSANADO", "PENDIENTE SUBSANAR")</f>
        <v>#REF!</v>
      </c>
      <c r="Y38" s="850" t="e">
        <f>W38/$T$11</f>
        <v>#REF!</v>
      </c>
    </row>
    <row r="39" spans="1:25" s="27" customFormat="1" ht="63" customHeight="1" x14ac:dyDescent="0.2">
      <c r="A39" s="802"/>
      <c r="B39" s="785"/>
      <c r="C39" s="799"/>
      <c r="D39" s="785"/>
      <c r="E39" s="785"/>
      <c r="F39" s="785"/>
      <c r="G39" s="107" t="e">
        <f>'1115-F02 Informe PM'!#REF!</f>
        <v>#REF!</v>
      </c>
      <c r="H39" s="107" t="e">
        <f>'1115-F02 Informe PM'!#REF!</f>
        <v>#REF!</v>
      </c>
      <c r="I39" s="107" t="e">
        <f>'1115-F02 Informe PM'!#REF!</f>
        <v>#REF!</v>
      </c>
      <c r="J39" s="108" t="e">
        <f>'1115-F02 Informe PM'!#REF!</f>
        <v>#REF!</v>
      </c>
      <c r="K39" s="198"/>
      <c r="L39" s="75" t="e">
        <f t="shared" si="12"/>
        <v>#REF!</v>
      </c>
      <c r="M39" s="75" t="e">
        <f t="shared" si="13"/>
        <v>#REF!</v>
      </c>
      <c r="N39" s="75" t="e">
        <f t="shared" si="14"/>
        <v>#REF!</v>
      </c>
      <c r="O39" s="812"/>
      <c r="P39" s="813"/>
      <c r="Q39" s="36" t="e">
        <f t="shared" si="11"/>
        <v>#REF!</v>
      </c>
      <c r="R39" s="28" t="e">
        <f>Q39/3</f>
        <v>#REF!</v>
      </c>
      <c r="S39" s="834"/>
      <c r="T39" s="836"/>
      <c r="U39" s="836"/>
      <c r="V39" s="845"/>
      <c r="W39" s="838"/>
      <c r="X39" s="841"/>
      <c r="Y39" s="851"/>
    </row>
    <row r="40" spans="1:25" s="27" customFormat="1" ht="143.25" customHeight="1" x14ac:dyDescent="0.2">
      <c r="A40" s="802"/>
      <c r="B40" s="785"/>
      <c r="C40" s="799"/>
      <c r="D40" s="785"/>
      <c r="E40" s="785"/>
      <c r="F40" s="785"/>
      <c r="G40" s="107" t="e">
        <f>'1115-F02 Informe PM'!#REF!</f>
        <v>#REF!</v>
      </c>
      <c r="H40" s="107" t="e">
        <f>'1115-F02 Informe PM'!#REF!</f>
        <v>#REF!</v>
      </c>
      <c r="I40" s="107" t="e">
        <f>'1115-F02 Informe PM'!#REF!</f>
        <v>#REF!</v>
      </c>
      <c r="J40" s="108" t="e">
        <f>'1115-F02 Informe PM'!#REF!</f>
        <v>#REF!</v>
      </c>
      <c r="K40" s="198"/>
      <c r="L40" s="75" t="e">
        <f t="shared" si="12"/>
        <v>#REF!</v>
      </c>
      <c r="M40" s="75" t="e">
        <f t="shared" si="13"/>
        <v>#REF!</v>
      </c>
      <c r="N40" s="75" t="e">
        <f t="shared" si="14"/>
        <v>#REF!</v>
      </c>
      <c r="O40" s="812"/>
      <c r="P40" s="813"/>
      <c r="Q40" s="36" t="e">
        <f t="shared" si="11"/>
        <v>#REF!</v>
      </c>
      <c r="R40" s="28" t="e">
        <f>Q40/3</f>
        <v>#REF!</v>
      </c>
      <c r="S40" s="834"/>
      <c r="T40" s="836"/>
      <c r="U40" s="836"/>
      <c r="V40" s="845"/>
      <c r="W40" s="838"/>
      <c r="X40" s="841"/>
      <c r="Y40" s="851"/>
    </row>
    <row r="41" spans="1:25" s="27" customFormat="1" ht="128.25" customHeight="1" thickBot="1" x14ac:dyDescent="0.25">
      <c r="A41" s="805"/>
      <c r="B41" s="786"/>
      <c r="C41" s="804"/>
      <c r="D41" s="786"/>
      <c r="E41" s="786"/>
      <c r="F41" s="124" t="e">
        <f>'1115-F02 Informe PM'!#REF!</f>
        <v>#REF!</v>
      </c>
      <c r="G41" s="112" t="e">
        <f>'1115-F02 Informe PM'!#REF!</f>
        <v>#REF!</v>
      </c>
      <c r="H41" s="112" t="e">
        <f>'1115-F02 Informe PM'!#REF!</f>
        <v>#REF!</v>
      </c>
      <c r="I41" s="112" t="e">
        <f>'1115-F02 Informe PM'!#REF!</f>
        <v>#REF!</v>
      </c>
      <c r="J41" s="113" t="e">
        <f>'1115-F02 Informe PM'!#REF!</f>
        <v>#REF!</v>
      </c>
      <c r="K41" s="199"/>
      <c r="L41" s="76" t="e">
        <f t="shared" si="12"/>
        <v>#REF!</v>
      </c>
      <c r="M41" s="76" t="e">
        <f t="shared" si="13"/>
        <v>#REF!</v>
      </c>
      <c r="N41" s="76" t="e">
        <f t="shared" si="14"/>
        <v>#REF!</v>
      </c>
      <c r="O41" s="824"/>
      <c r="P41" s="809"/>
      <c r="Q41" s="48" t="e">
        <f t="shared" si="11"/>
        <v>#REF!</v>
      </c>
      <c r="R41" s="49" t="e">
        <f>Q41/1</f>
        <v>#REF!</v>
      </c>
      <c r="S41" s="150" t="e">
        <f>(R41)/$S$10</f>
        <v>#REF!</v>
      </c>
      <c r="T41" s="145" t="e">
        <f>IF(S41=$T$10, "FINALIZADA", "PENDIENTE")</f>
        <v>#REF!</v>
      </c>
      <c r="U41" s="151" t="e">
        <f>S41/$T$10</f>
        <v>#REF!</v>
      </c>
      <c r="V41" s="171" t="e">
        <f>U41/2</f>
        <v>#REF!</v>
      </c>
      <c r="W41" s="839"/>
      <c r="X41" s="842"/>
      <c r="Y41" s="852"/>
    </row>
    <row r="42" spans="1:25" s="27" customFormat="1" ht="102.75" customHeight="1" thickBot="1" x14ac:dyDescent="0.25">
      <c r="A42" s="125">
        <f>'1115-F02 Informe PM'!A47</f>
        <v>11</v>
      </c>
      <c r="B42" s="126" t="str">
        <f>'1115-F02 Informe PM'!B47</f>
        <v>11-2019</v>
      </c>
      <c r="C42" s="127" t="str">
        <f>'1115-F02 Informe PM'!C47</f>
        <v>HALLAZGO 11 CONTRATO 5628 DE 2018 BLOQUE G MEDICINA 
En visita técnica realizada a la Universidad Tecnológica de Pereira, a las obras ejecutadas según contratos de obra 5628 de 2018, se evidenció lo siguiente: 
Contrato 5628 de 2018: Objeto: construcción de pavimento y obras complementarias en acceso a la entrada g de la UTP. Valor total: $93.700.000.
En la Inspección ocular llevada a cabo el día 27 de febrero de 2020, se evidenció un daño superficial del tipo “desintegración” de severidad media en dos platos del pavimento en concreto hidráulico, en el sector donde inicia la aguja de acceso al parqueadero, que corresponde geométricamente a un trapecio con bases de 3.7 mts y 4.9 mts y una altura de 3.4 mts, para un área total afectada de 14.62 metros cuadrados, cuyo costo directo fue de $1.608.200, e incluyendo el AIU del 37.87%, arroja un valor de $2.217.225,3. También se observó pulimiento en algunos platos. (Ver tabla 15 Informe)</v>
      </c>
      <c r="D42" s="126" t="str">
        <f>'1115-F02 Informe PM'!D47</f>
        <v>Debilidades y falencias en las actividades de planeación e interventoría y supervisión contractual</v>
      </c>
      <c r="E42" s="126" t="e">
        <f>'1115-F02 Informe PM'!#REF!</f>
        <v>#REF!</v>
      </c>
      <c r="F42" s="126" t="str">
        <f>'1115-F02 Informe PM'!F47</f>
        <v>Definición e implementación un procedimiento de control y seguimiento para la planeación y ejecución de contratos de diseño, obra y adecuaciones</v>
      </c>
      <c r="G42" s="128" t="str">
        <f>'1115-F02 Informe PM'!G47</f>
        <v>Revisar todos los pasos para realizar el procedimiento de  control y seguimiento para la planeación y ejecución de contratos de diseño, obra y adecuaciones</v>
      </c>
      <c r="H42" s="128" t="str">
        <f>'1115-F02 Informe PM'!I47</f>
        <v>Actas de reunión</v>
      </c>
      <c r="I42" s="128">
        <f>'1115-F02 Informe PM'!J47</f>
        <v>4</v>
      </c>
      <c r="J42" s="129">
        <f>'1115-F02 Informe PM'!L47</f>
        <v>44165</v>
      </c>
      <c r="K42" s="201"/>
      <c r="L42" s="130" t="str">
        <f t="shared" ref="L42:L51" si="15">IF(AND(K42&lt;I42, K42&gt;0),"Si","No")</f>
        <v>No</v>
      </c>
      <c r="M42" s="130" t="str">
        <f t="shared" ref="M42:M51" si="16">IF(AND($D$11&gt;J42,K42&lt;I42),"Vencida","No")</f>
        <v>No</v>
      </c>
      <c r="N42" s="130" t="str">
        <f t="shared" ref="N42:N51" si="17">IF(K42=I42,"Finalizada","No")</f>
        <v>No</v>
      </c>
      <c r="O42" s="782"/>
      <c r="P42" s="783"/>
      <c r="Q42" s="53">
        <f t="shared" si="11"/>
        <v>0</v>
      </c>
      <c r="R42" s="30">
        <f>Q42/1</f>
        <v>0</v>
      </c>
      <c r="S42" s="137">
        <f>(R42)/$S$10</f>
        <v>0</v>
      </c>
      <c r="T42" s="156" t="str">
        <f>IF(S42=$T$10, "FINALIZADA", "PENDIENTE")</f>
        <v>PENDIENTE</v>
      </c>
      <c r="U42" s="154">
        <f>S42/$T$10</f>
        <v>0</v>
      </c>
      <c r="V42" s="168">
        <f>U42/1</f>
        <v>0</v>
      </c>
      <c r="W42" s="166">
        <f>V42/$S$11</f>
        <v>0</v>
      </c>
      <c r="X42" s="170" t="str">
        <f>IF(W42=$T$11, "SUBSANADO", "PENDIENTE SUBSANAR")</f>
        <v>PENDIENTE SUBSANAR</v>
      </c>
      <c r="Y42" s="169">
        <f>W42/$T$11</f>
        <v>0</v>
      </c>
    </row>
    <row r="43" spans="1:25" s="27" customFormat="1" ht="81" customHeight="1" x14ac:dyDescent="0.2">
      <c r="A43" s="801">
        <f>'1115-F02 Informe PM'!A50</f>
        <v>12</v>
      </c>
      <c r="B43" s="784" t="str">
        <f>'1115-F02 Informe PM'!B50</f>
        <v>12-2019</v>
      </c>
      <c r="C43" s="798" t="str">
        <f>'1115-F02 Informe PM'!C50</f>
        <v>HALLAZGO 12 CONTRATO 5613 DE 2018 OBRAS ESCENARIO DEPORTIVO ETAPA 2 
La Universidad Tecnológica de Pereira, suscribió el contrato de obra 5613 el 12 de octubre de 2018, liquidado 23 de noviembre de 2019, para la construcción de la Etapa N° 02 de los nuevos escenarios deportivos, por $581.651.043. 
En el proceso de verificación de la ejecución del contrato, mediante visita de inspección física al sitio de ejecución de las obras y análisis de información documental, se encontraron las siguientes deficiencias:
1. En el ítem nuevo 13.23 “Baranda en acero inoxidable con pasamanos en tubería de 2 pulgadas”, un hilo en tubería de 1½ pulgada y dos hilos en tubería de 1 pulgada, parales en platina de acero inoxidable cada 1,0 m”, se evidenció que:
No se cumplieron las especificaciones técnicas de la actividad, ya que no se respetó la distancia de los parales cada 1,0 m. Se encontraron espaciamientos entre parales de barandas de hasta 1,16 m para el área de las graderías, 1,50 m para el área de la rampa de acceso a recepción, 1,22 m para el acceso al gimnasio abierto, 1,60 m para el área de pasillo recepción, 1,55 m en escaleras tramo superior, 1,83m en escaleras tramo inferior y, 1,65 m, 1,55 m, 1,20 m para el área de conexión del gimnasio abierto con el cerrado. 
No se respetaron las dimensiones de la tubería. Se encontró que, en las barandas de las áreas de rampa de acceso a recepción, área de acceso a gimnasio abierto, área de pasillo recepción, área de conexión entre gimnasios abierto y cerrado, así como los tramos superior e inferior de la escalera, se instaló un hilo en tubería de 1¼ pulgada, en vez de un hilo en tubería de 1½ pulgada, como lo requería y especificaba el ítem.
Algunas barandas presentan inestabilidad, como las barandas de las rampas de acceso a gimnasio abierto y rampa de acceso al área de recepción. 
Las irregularidades descritas en la ejecución del ítem de las barandas, generan un menoscabo al patrimonio por $19.594.018,08, por concepto de producto recibido y pagado, no conforme a las especificaciones contractuales establecidas. (ver Tabla 16 Informe)
2. Se evidenció que a través del ítem 7.02 “Sanitario Institucional ADRIÁTICO de CORONA color blanco para baños de personas con movilidad reducida PMR; con sistema de válvula antivandálica de empotrar tipo push”, se pagó un sanitario convencional Corona de dos piezas (taza con tanque superior), con sistema de vaciado de manija frontal, el cual no corresponde con las especificaciones técnicas requeridas contractualmente por la universidad ni con la propuesta económica del contratista. Esta actividad ejecutada en el baño para personas con movilidad reducida en el módulo de recepción, genera un detrimento al patrimonio por $1.139.599,24, correspondiente al pago del ítem 7.02 (AIU incluido). Producto recibido y pagado no conforme a las especificaciones contractuales.
3. Se evidenció que en la ejecución de la actividad 7.03 “Accesorios ortopédicos en acero inoxidable para baños de personas con movilidad reducida PMR conformado por 1 barra abatible y barra de apoyo a muro, referencia CORONA”, no se instaló la barra abatible o plegable, tal como lo exigían las especificaciones técnicas contractuales. Esta actividad ejecutada en el baño para personas con movilidad reducida en el módulo de recepción, genera un detrimento al patrimonio por $493.487,06, correspondiente al pago del ítem 7.03 (AIU incluido). Producto recibido y pagado no conforme a las especificaciones contractuales.
4. En la actividad 10.01 “Adoquín peatonal 0.20mx0.10mx0.06m color gris.  Incluye arena de base y sello” y actividad 10.02 “Adoquín peatonal 0.20mx0.10mx0.06m color amarillo Incluye arena de base y sello” por $72.367 m2, se pagaron mayores cantidades a las realmente ejecutadas acumuladas para los dos ítems, por $1.218.398 así (Ver tabla 17)
En resumen, las deficiencias encontradas ascienden a $22.445.502, por actividades ejecutadas, recibidas y pagadas, no conforme a las especificaciones contractuales establecidas y mayores cantidades pagadas a las realmente ejecutadas, así (Ver tabla 18 Informe)</v>
      </c>
      <c r="D43" s="784" t="str">
        <f>'1115-F02 Informe PM'!D50</f>
        <v>Debilidades en las labores de verificación técnica en la ejecución de las actividades mencionadas</v>
      </c>
      <c r="E43" s="784" t="e">
        <f>'1115-F02 Informe PM'!#REF!</f>
        <v>#REF!</v>
      </c>
      <c r="F43" s="784" t="str">
        <f>'1115-F02 Informe PM'!F50</f>
        <v>Definición e implementación un procedimiento de control y seguimiento para la planeación y ejecución de contratos de diseño, obra y adecuaciones</v>
      </c>
      <c r="G43" s="80" t="str">
        <f>'1115-F02 Informe PM'!G50</f>
        <v>Revisar todos los pasos para realizar el procedimiento de  control y seguimiento para la planeación y ejecución de contratos de diseño, obra y adecuaciones</v>
      </c>
      <c r="H43" s="80" t="str">
        <f>'1115-F02 Informe PM'!I50</f>
        <v>Actas de reunión</v>
      </c>
      <c r="I43" s="80">
        <f>'1115-F02 Informe PM'!J50</f>
        <v>4</v>
      </c>
      <c r="J43" s="81">
        <f>'1115-F02 Informe PM'!L50</f>
        <v>44165</v>
      </c>
      <c r="K43" s="196"/>
      <c r="L43" s="74" t="str">
        <f t="shared" si="15"/>
        <v>No</v>
      </c>
      <c r="M43" s="74" t="str">
        <f t="shared" si="16"/>
        <v>No</v>
      </c>
      <c r="N43" s="74" t="str">
        <f t="shared" si="17"/>
        <v>No</v>
      </c>
      <c r="O43" s="825"/>
      <c r="P43" s="822"/>
      <c r="Q43" s="35">
        <f t="shared" si="11"/>
        <v>0</v>
      </c>
      <c r="R43" s="26">
        <f>Q43/3</f>
        <v>0</v>
      </c>
      <c r="S43" s="833" t="e">
        <f>(R43+R44+R45)/$S$10</f>
        <v>#REF!</v>
      </c>
      <c r="T43" s="835" t="e">
        <f>IF(S43=$T$10, "FINALIZADA", "PENDIENTE")</f>
        <v>#REF!</v>
      </c>
      <c r="U43" s="835" t="e">
        <f>S43/$T$10</f>
        <v>#REF!</v>
      </c>
      <c r="V43" s="844" t="e">
        <f>U43/1</f>
        <v>#REF!</v>
      </c>
      <c r="W43" s="837" t="e">
        <f>V43/$S$11</f>
        <v>#REF!</v>
      </c>
      <c r="X43" s="840" t="e">
        <f>IF(W43=$T$11, "SUBSANADO", "PENDIENTE SUBSANAR")</f>
        <v>#REF!</v>
      </c>
      <c r="Y43" s="850" t="e">
        <f>W43/$T$11</f>
        <v>#REF!</v>
      </c>
    </row>
    <row r="44" spans="1:25" s="27" customFormat="1" ht="60" customHeight="1" x14ac:dyDescent="0.2">
      <c r="A44" s="802"/>
      <c r="B44" s="785"/>
      <c r="C44" s="799"/>
      <c r="D44" s="785"/>
      <c r="E44" s="785"/>
      <c r="F44" s="785"/>
      <c r="G44" s="107" t="e">
        <f>'1115-F02 Informe PM'!#REF!</f>
        <v>#REF!</v>
      </c>
      <c r="H44" s="107" t="e">
        <f>'1115-F02 Informe PM'!#REF!</f>
        <v>#REF!</v>
      </c>
      <c r="I44" s="107" t="e">
        <f>'1115-F02 Informe PM'!#REF!</f>
        <v>#REF!</v>
      </c>
      <c r="J44" s="108" t="e">
        <f>'1115-F02 Informe PM'!#REF!</f>
        <v>#REF!</v>
      </c>
      <c r="K44" s="198"/>
      <c r="L44" s="75" t="e">
        <f t="shared" si="15"/>
        <v>#REF!</v>
      </c>
      <c r="M44" s="75" t="e">
        <f t="shared" si="16"/>
        <v>#REF!</v>
      </c>
      <c r="N44" s="75" t="e">
        <f t="shared" si="17"/>
        <v>#REF!</v>
      </c>
      <c r="O44" s="812"/>
      <c r="P44" s="813"/>
      <c r="Q44" s="36" t="e">
        <f t="shared" si="11"/>
        <v>#REF!</v>
      </c>
      <c r="R44" s="28" t="e">
        <f>Q44/3</f>
        <v>#REF!</v>
      </c>
      <c r="S44" s="834"/>
      <c r="T44" s="836"/>
      <c r="U44" s="836"/>
      <c r="V44" s="845"/>
      <c r="W44" s="838"/>
      <c r="X44" s="841"/>
      <c r="Y44" s="851"/>
    </row>
    <row r="45" spans="1:25" s="27" customFormat="1" ht="47.25" customHeight="1" thickBot="1" x14ac:dyDescent="0.25">
      <c r="A45" s="803"/>
      <c r="B45" s="797"/>
      <c r="C45" s="800"/>
      <c r="D45" s="797"/>
      <c r="E45" s="797"/>
      <c r="F45" s="797"/>
      <c r="G45" s="118" t="e">
        <f>'1115-F02 Informe PM'!#REF!</f>
        <v>#REF!</v>
      </c>
      <c r="H45" s="118" t="e">
        <f>'1115-F02 Informe PM'!#REF!</f>
        <v>#REF!</v>
      </c>
      <c r="I45" s="118" t="e">
        <f>'1115-F02 Informe PM'!#REF!</f>
        <v>#REF!</v>
      </c>
      <c r="J45" s="119" t="e">
        <f>'1115-F02 Informe PM'!#REF!</f>
        <v>#REF!</v>
      </c>
      <c r="K45" s="200"/>
      <c r="L45" s="120" t="e">
        <f t="shared" si="15"/>
        <v>#REF!</v>
      </c>
      <c r="M45" s="120" t="e">
        <f t="shared" si="16"/>
        <v>#REF!</v>
      </c>
      <c r="N45" s="120" t="e">
        <f t="shared" si="17"/>
        <v>#REF!</v>
      </c>
      <c r="O45" s="819"/>
      <c r="P45" s="820"/>
      <c r="Q45" s="48" t="e">
        <f t="shared" si="11"/>
        <v>#REF!</v>
      </c>
      <c r="R45" s="49" t="e">
        <f>Q45/3</f>
        <v>#REF!</v>
      </c>
      <c r="S45" s="847"/>
      <c r="T45" s="843"/>
      <c r="U45" s="843"/>
      <c r="V45" s="846"/>
      <c r="W45" s="839"/>
      <c r="X45" s="842"/>
      <c r="Y45" s="852"/>
    </row>
    <row r="46" spans="1:25" s="27" customFormat="1" ht="69" customHeight="1" x14ac:dyDescent="0.2">
      <c r="A46" s="801">
        <f>'1115-F02 Informe PM'!A53</f>
        <v>13</v>
      </c>
      <c r="B46" s="784" t="str">
        <f>'1115-F02 Informe PM'!B53</f>
        <v>13-2019</v>
      </c>
      <c r="C46" s="798" t="str">
        <f>'1115-F02 Informe PM'!C53</f>
        <v>HALLAZGO 13 CONTRATO 5660 DE 2018 
La Universidad Tecnológica de Pereira, suscribió el contrato de obra 5660 de 2018, liquidado el 20 de septiembre del 2019, el cual tiene por objeto: Adecuación funcional laboratorios de Química ambiental y procesos biológicos en la facultad de ciencias ambientales de la UTP, por $ 262.891.547 y pagado por el mismo valor. 
En la inspección ocular llevada a cabo el día 17 y 19 de marzo de 2020, en compañía de la ingeniera de la oficina de planeación, se evidenció el recibo y pago de algunos ítems que no cumplen las especificaciones técnicas estipuladas en el contrato, y pago de mayor cantidad de obra, como lo muestra el siguiente cuadro (ver tabla 19 Informe)</v>
      </c>
      <c r="D46" s="784" t="str">
        <f>'1115-F02 Informe PM'!D53</f>
        <v>Debilidades y falencias en las actividades de supervisión e interventoría, lo cual ocasionó que se recibieran y pagaran ítems sin cumplimiento de las especificaciones técnicas, mayores cantidades</v>
      </c>
      <c r="E46" s="784" t="e">
        <f>'1115-F02 Informe PM'!#REF!</f>
        <v>#REF!</v>
      </c>
      <c r="F46" s="784" t="str">
        <f>'1115-F02 Informe PM'!F53</f>
        <v>Definición e implementación un procedimiento de control y seguimiento para la planeación y ejecución de contratos de diseño, obra y adecuaciones</v>
      </c>
      <c r="G46" s="80" t="str">
        <f>'1115-F02 Informe PM'!G53</f>
        <v>Revisar todos los pasos para realizar el procedimiento de  control y seguimiento para la planeación y ejecución de contratos de diseño, obra y adecuaciones</v>
      </c>
      <c r="H46" s="80" t="str">
        <f>'1115-F02 Informe PM'!I53</f>
        <v>Actas de reunión</v>
      </c>
      <c r="I46" s="80">
        <f>'1115-F02 Informe PM'!J53</f>
        <v>4</v>
      </c>
      <c r="J46" s="81">
        <f>'1115-F02 Informe PM'!L53</f>
        <v>44165</v>
      </c>
      <c r="K46" s="196"/>
      <c r="L46" s="74" t="str">
        <f t="shared" si="15"/>
        <v>No</v>
      </c>
      <c r="M46" s="74" t="str">
        <f t="shared" si="16"/>
        <v>No</v>
      </c>
      <c r="N46" s="74" t="str">
        <f t="shared" si="17"/>
        <v>No</v>
      </c>
      <c r="O46" s="825"/>
      <c r="P46" s="822"/>
      <c r="Q46" s="35">
        <f t="shared" si="11"/>
        <v>0</v>
      </c>
      <c r="R46" s="26">
        <f>Q46/4</f>
        <v>0</v>
      </c>
      <c r="S46" s="833" t="e">
        <f>(R46+R47+R48+R49)/$S$10</f>
        <v>#REF!</v>
      </c>
      <c r="T46" s="835" t="e">
        <f>IF(S46=$T$10, "FINALIZADA", "PENDIENTE")</f>
        <v>#REF!</v>
      </c>
      <c r="U46" s="835" t="e">
        <f>S46/$T$10</f>
        <v>#REF!</v>
      </c>
      <c r="V46" s="844" t="e">
        <f>U46/2</f>
        <v>#REF!</v>
      </c>
      <c r="W46" s="837" t="e">
        <f>(V46+V50)/$S$11</f>
        <v>#REF!</v>
      </c>
      <c r="X46" s="840" t="e">
        <f>IF(W46=$T$11, "SUBSANADO", "PENDIENTE SUBSANAR")</f>
        <v>#REF!</v>
      </c>
      <c r="Y46" s="850" t="e">
        <f>W46/$T$11</f>
        <v>#REF!</v>
      </c>
    </row>
    <row r="47" spans="1:25" s="27" customFormat="1" ht="51" customHeight="1" x14ac:dyDescent="0.2">
      <c r="A47" s="802"/>
      <c r="B47" s="785"/>
      <c r="C47" s="799"/>
      <c r="D47" s="785"/>
      <c r="E47" s="785"/>
      <c r="F47" s="785"/>
      <c r="G47" s="107" t="e">
        <f>'1115-F02 Informe PM'!#REF!</f>
        <v>#REF!</v>
      </c>
      <c r="H47" s="107" t="e">
        <f>'1115-F02 Informe PM'!#REF!</f>
        <v>#REF!</v>
      </c>
      <c r="I47" s="107" t="e">
        <f>'1115-F02 Informe PM'!#REF!</f>
        <v>#REF!</v>
      </c>
      <c r="J47" s="108" t="e">
        <f>'1115-F02 Informe PM'!#REF!</f>
        <v>#REF!</v>
      </c>
      <c r="K47" s="198"/>
      <c r="L47" s="75" t="e">
        <f t="shared" si="15"/>
        <v>#REF!</v>
      </c>
      <c r="M47" s="75" t="e">
        <f t="shared" si="16"/>
        <v>#REF!</v>
      </c>
      <c r="N47" s="75" t="e">
        <f t="shared" si="17"/>
        <v>#REF!</v>
      </c>
      <c r="O47" s="812"/>
      <c r="P47" s="813"/>
      <c r="Q47" s="36" t="e">
        <f t="shared" si="11"/>
        <v>#REF!</v>
      </c>
      <c r="R47" s="28" t="e">
        <f>Q47/4</f>
        <v>#REF!</v>
      </c>
      <c r="S47" s="834"/>
      <c r="T47" s="836"/>
      <c r="U47" s="836"/>
      <c r="V47" s="845"/>
      <c r="W47" s="838"/>
      <c r="X47" s="841"/>
      <c r="Y47" s="851"/>
    </row>
    <row r="48" spans="1:25" s="27" customFormat="1" ht="72.75" customHeight="1" x14ac:dyDescent="0.2">
      <c r="A48" s="802"/>
      <c r="B48" s="785"/>
      <c r="C48" s="799"/>
      <c r="D48" s="785"/>
      <c r="E48" s="785"/>
      <c r="F48" s="785"/>
      <c r="G48" s="107" t="e">
        <f>'1115-F02 Informe PM'!#REF!</f>
        <v>#REF!</v>
      </c>
      <c r="H48" s="107" t="e">
        <f>'1115-F02 Informe PM'!#REF!</f>
        <v>#REF!</v>
      </c>
      <c r="I48" s="107" t="e">
        <f>'1115-F02 Informe PM'!#REF!</f>
        <v>#REF!</v>
      </c>
      <c r="J48" s="108" t="e">
        <f>'1115-F02 Informe PM'!#REF!</f>
        <v>#REF!</v>
      </c>
      <c r="K48" s="198"/>
      <c r="L48" s="75" t="e">
        <f t="shared" si="15"/>
        <v>#REF!</v>
      </c>
      <c r="M48" s="75" t="e">
        <f t="shared" si="16"/>
        <v>#REF!</v>
      </c>
      <c r="N48" s="75" t="e">
        <f t="shared" si="17"/>
        <v>#REF!</v>
      </c>
      <c r="O48" s="812"/>
      <c r="P48" s="813"/>
      <c r="Q48" s="36" t="e">
        <f t="shared" si="11"/>
        <v>#REF!</v>
      </c>
      <c r="R48" s="28" t="e">
        <f>Q48/4</f>
        <v>#REF!</v>
      </c>
      <c r="S48" s="834"/>
      <c r="T48" s="836"/>
      <c r="U48" s="836"/>
      <c r="V48" s="845"/>
      <c r="W48" s="838"/>
      <c r="X48" s="841"/>
      <c r="Y48" s="851"/>
    </row>
    <row r="49" spans="1:25" s="27" customFormat="1" ht="45" customHeight="1" x14ac:dyDescent="0.2">
      <c r="A49" s="802"/>
      <c r="B49" s="785"/>
      <c r="C49" s="799"/>
      <c r="D49" s="785"/>
      <c r="E49" s="785"/>
      <c r="F49" s="785"/>
      <c r="G49" s="107" t="e">
        <f>'1115-F02 Informe PM'!#REF!</f>
        <v>#REF!</v>
      </c>
      <c r="H49" s="107" t="e">
        <f>'1115-F02 Informe PM'!#REF!</f>
        <v>#REF!</v>
      </c>
      <c r="I49" s="107" t="e">
        <f>'1115-F02 Informe PM'!#REF!</f>
        <v>#REF!</v>
      </c>
      <c r="J49" s="108" t="e">
        <f>'1115-F02 Informe PM'!#REF!</f>
        <v>#REF!</v>
      </c>
      <c r="K49" s="198"/>
      <c r="L49" s="75" t="e">
        <f t="shared" si="15"/>
        <v>#REF!</v>
      </c>
      <c r="M49" s="75" t="e">
        <f t="shared" si="16"/>
        <v>#REF!</v>
      </c>
      <c r="N49" s="75" t="e">
        <f t="shared" si="17"/>
        <v>#REF!</v>
      </c>
      <c r="O49" s="812"/>
      <c r="P49" s="813"/>
      <c r="Q49" s="36" t="e">
        <f t="shared" si="11"/>
        <v>#REF!</v>
      </c>
      <c r="R49" s="28" t="e">
        <f>Q49/4</f>
        <v>#REF!</v>
      </c>
      <c r="S49" s="834"/>
      <c r="T49" s="836"/>
      <c r="U49" s="836"/>
      <c r="V49" s="845"/>
      <c r="W49" s="838"/>
      <c r="X49" s="841"/>
      <c r="Y49" s="851"/>
    </row>
    <row r="50" spans="1:25" s="27" customFormat="1" ht="120" customHeight="1" thickBot="1" x14ac:dyDescent="0.25">
      <c r="A50" s="805"/>
      <c r="B50" s="786"/>
      <c r="C50" s="804"/>
      <c r="D50" s="786"/>
      <c r="E50" s="786"/>
      <c r="F50" s="124" t="e">
        <f>'1115-F02 Informe PM'!#REF!</f>
        <v>#REF!</v>
      </c>
      <c r="G50" s="112" t="e">
        <f>'1115-F02 Informe PM'!#REF!</f>
        <v>#REF!</v>
      </c>
      <c r="H50" s="112" t="e">
        <f>'1115-F02 Informe PM'!#REF!</f>
        <v>#REF!</v>
      </c>
      <c r="I50" s="112" t="e">
        <f>'1115-F02 Informe PM'!#REF!</f>
        <v>#REF!</v>
      </c>
      <c r="J50" s="113" t="e">
        <f>'1115-F02 Informe PM'!#REF!</f>
        <v>#REF!</v>
      </c>
      <c r="K50" s="199"/>
      <c r="L50" s="76" t="e">
        <f t="shared" si="15"/>
        <v>#REF!</v>
      </c>
      <c r="M50" s="76" t="e">
        <f t="shared" si="16"/>
        <v>#REF!</v>
      </c>
      <c r="N50" s="76" t="e">
        <f t="shared" si="17"/>
        <v>#REF!</v>
      </c>
      <c r="O50" s="824"/>
      <c r="P50" s="809"/>
      <c r="Q50" s="48" t="e">
        <f t="shared" si="11"/>
        <v>#REF!</v>
      </c>
      <c r="R50" s="49" t="e">
        <f>Q50/1</f>
        <v>#REF!</v>
      </c>
      <c r="S50" s="150" t="e">
        <f>(R50)/$S$10</f>
        <v>#REF!</v>
      </c>
      <c r="T50" s="145" t="e">
        <f>IF(S50=$T$10, "FINALIZADA", "PENDIENTE")</f>
        <v>#REF!</v>
      </c>
      <c r="U50" s="151" t="e">
        <f>S50/$T$10</f>
        <v>#REF!</v>
      </c>
      <c r="V50" s="171" t="e">
        <f>U50/2</f>
        <v>#REF!</v>
      </c>
      <c r="W50" s="839"/>
      <c r="X50" s="842"/>
      <c r="Y50" s="852"/>
    </row>
    <row r="51" spans="1:25" s="27" customFormat="1" ht="102.75" customHeight="1" thickBot="1" x14ac:dyDescent="0.25">
      <c r="A51" s="125">
        <f>'1115-F02 Informe PM'!A56</f>
        <v>14</v>
      </c>
      <c r="B51" s="126" t="str">
        <f>'1115-F02 Informe PM'!B56</f>
        <v>14-2019</v>
      </c>
      <c r="C51" s="127" t="str">
        <f>'1115-F02 Informe PM'!C56</f>
        <v xml:space="preserve">HALLAZGO 14 CONTRATO 5655 DE 2018 
La Universidad Tecnológica de Pereira, suscribió el contrato de obra 5655 de 2018, liquidado 2 septiembre del 2019, el cual tiene por objeto: Contrato de obra para la adecuación funcional del espacio actual y la modificación de redes (eléctrica y de datos) para la adecuación de las vicerrectorías académicas y administrativas de la UTP, por $136.944.675.
En la inspección ocular llevada a cabo el día 10 de marzo de 2020, se evidenció el pago de mayores cantidades de obra, como se detalla en el siguiente cuadro; igualmente en el itero 3.5 "Puertas de 0.95 m x 3 m de una nave batiente en aluminio natural y vidrio de 8 mm" se observó que el vidrio colocado es de un espesor inferior a los 8mm" especificados en el contrato.  (Ver tabla 20 Informe)
</v>
      </c>
      <c r="D51" s="126" t="str">
        <f>'1115-F02 Informe PM'!D56</f>
        <v>Debilidades y falencias en las actividades de interventoría y supervisión del contrato</v>
      </c>
      <c r="E51" s="126" t="e">
        <f>'1115-F02 Informe PM'!#REF!</f>
        <v>#REF!</v>
      </c>
      <c r="F51" s="126" t="str">
        <f>'1115-F02 Informe PM'!F56</f>
        <v>Definición e implementación un procedimiento de control y seguimiento para la planeación y ejecución de contratos de diseño, obra y adecuaciones</v>
      </c>
      <c r="G51" s="128" t="str">
        <f>'1115-F02 Informe PM'!G56</f>
        <v>Revisar todos los pasos para realizar el procedimiento de  control y seguimiento para la planeación y ejecución de contratos de diseño, obra y adecuaciones</v>
      </c>
      <c r="H51" s="128" t="str">
        <f>'1115-F02 Informe PM'!I56</f>
        <v>Actas de reunión</v>
      </c>
      <c r="I51" s="128">
        <f>'1115-F02 Informe PM'!J56</f>
        <v>4</v>
      </c>
      <c r="J51" s="129">
        <f>'1115-F02 Informe PM'!L56</f>
        <v>44165</v>
      </c>
      <c r="K51" s="201"/>
      <c r="L51" s="130" t="str">
        <f t="shared" si="15"/>
        <v>No</v>
      </c>
      <c r="M51" s="130" t="str">
        <f t="shared" si="16"/>
        <v>No</v>
      </c>
      <c r="N51" s="130" t="str">
        <f t="shared" si="17"/>
        <v>No</v>
      </c>
      <c r="O51" s="782"/>
      <c r="P51" s="783"/>
      <c r="Q51" s="53">
        <f t="shared" si="11"/>
        <v>0</v>
      </c>
      <c r="R51" s="30">
        <f>Q51/1</f>
        <v>0</v>
      </c>
      <c r="S51" s="137">
        <f>(R51)/$S$10</f>
        <v>0</v>
      </c>
      <c r="T51" s="156" t="str">
        <f>IF(S51=$T$10, "FINALIZADA", "PENDIENTE")</f>
        <v>PENDIENTE</v>
      </c>
      <c r="U51" s="154">
        <f>S51/$T$10</f>
        <v>0</v>
      </c>
      <c r="V51" s="168">
        <f>U51/1</f>
        <v>0</v>
      </c>
      <c r="W51" s="166">
        <f>V51/$S$11</f>
        <v>0</v>
      </c>
      <c r="X51" s="170" t="str">
        <f>IF(W51=$T$11, "SUBSANADO", "PENDIENTE SUBSANAR")</f>
        <v>PENDIENTE SUBSANAR</v>
      </c>
      <c r="Y51" s="169">
        <f>W51/$T$11</f>
        <v>0</v>
      </c>
    </row>
    <row r="52" spans="1:25" s="27" customFormat="1" ht="57.75" customHeight="1" x14ac:dyDescent="0.2">
      <c r="A52" s="801">
        <f>'1115-F02 Informe PM'!A59</f>
        <v>15</v>
      </c>
      <c r="B52" s="784" t="str">
        <f>'1115-F02 Informe PM'!B59</f>
        <v>15-2019</v>
      </c>
      <c r="C52" s="798" t="str">
        <f>'1115-F02 Informe PM'!C59</f>
        <v>HALLAZGO 15 CONTRATO 5653 DE 2018 ADECUACIÓN GESTIÓN FINANCIERA 
La Universidad Tecnológica de Pereira, suscribió el contrato de obra 5653 de 2018, liquidado septiembre 2 del 2019, el cual tiene por objeto: Contrato de Obra para la Adecuación funcional del espacio actual y la modificación de redes (eléctrica y de datos) de Gestión Financiera de la UTP, por $163.714.599 y valor pagado por $163.714.598.
En la inspección ocular llevada a cabo el día 6 de marzo de 2020, en compañía del tecnólogo en instalaciones eléctricas y la arquitecta de la oficina de planeación, se evidenció el pago de mayores y menores cantidades de obra a las realmente ejecutadas, como se detalla en el siguiente cuadro (Ver tabla 21 Informe)</v>
      </c>
      <c r="D52" s="784" t="str">
        <f>'1115-F02 Informe PM'!D59</f>
        <v>Debilidades y falencias en las actividades de supervisión e interventoría, lo cual ocasiono que se pagaran mayores cantidades a las realmente ejecutadas</v>
      </c>
      <c r="E52" s="784" t="e">
        <f>'1115-F02 Informe PM'!#REF!</f>
        <v>#REF!</v>
      </c>
      <c r="F52" s="784" t="str">
        <f>'1115-F02 Informe PM'!F59</f>
        <v>Definición e implementación un procedimiento de control y seguimiento para la planeación y ejecución de contratos de diseño, obra y adecuaciones</v>
      </c>
      <c r="G52" s="80" t="str">
        <f>'1115-F02 Informe PM'!G59</f>
        <v>Revisar todos los pasos para realizar el procedimiento de  control y seguimiento para la planeación y ejecución de contratos de diseño, obra y adecuaciones</v>
      </c>
      <c r="H52" s="80" t="str">
        <f>'1115-F02 Informe PM'!I59</f>
        <v>Actas de reunión</v>
      </c>
      <c r="I52" s="80">
        <f>'1115-F02 Informe PM'!J59</f>
        <v>4</v>
      </c>
      <c r="J52" s="81">
        <f>'1115-F02 Informe PM'!L59</f>
        <v>44165</v>
      </c>
      <c r="K52" s="196"/>
      <c r="L52" s="74" t="str">
        <f t="shared" ref="L52:L58" si="18">IF(AND(K52&lt;I52, K52&gt;0),"Si","No")</f>
        <v>No</v>
      </c>
      <c r="M52" s="74" t="str">
        <f t="shared" ref="M52:M58" si="19">IF(AND($D$11&gt;J52,K52&lt;I52),"Vencida","No")</f>
        <v>No</v>
      </c>
      <c r="N52" s="74" t="str">
        <f t="shared" ref="N52:N58" si="20">IF(K52=I52,"Finalizada","No")</f>
        <v>No</v>
      </c>
      <c r="O52" s="825"/>
      <c r="P52" s="822"/>
      <c r="Q52" s="35">
        <f t="shared" si="11"/>
        <v>0</v>
      </c>
      <c r="R52" s="26">
        <f>Q52/3</f>
        <v>0</v>
      </c>
      <c r="S52" s="833" t="e">
        <f>(R52+R53+R54)/$S$10</f>
        <v>#REF!</v>
      </c>
      <c r="T52" s="835" t="e">
        <f>IF(S52=$T$10, "FINALIZADA", "PENDIENTE")</f>
        <v>#REF!</v>
      </c>
      <c r="U52" s="835" t="e">
        <f>S52/$T$10</f>
        <v>#REF!</v>
      </c>
      <c r="V52" s="844" t="e">
        <f>U52/1</f>
        <v>#REF!</v>
      </c>
      <c r="W52" s="837" t="e">
        <f>V52/$S$11</f>
        <v>#REF!</v>
      </c>
      <c r="X52" s="840" t="e">
        <f>IF(W52=$T$11, "SUBSANADO", "PENDIENTE SUBSANAR")</f>
        <v>#REF!</v>
      </c>
      <c r="Y52" s="850" t="e">
        <f>W52/$T$11</f>
        <v>#REF!</v>
      </c>
    </row>
    <row r="53" spans="1:25" s="27" customFormat="1" ht="54.75" customHeight="1" x14ac:dyDescent="0.2">
      <c r="A53" s="802"/>
      <c r="B53" s="785"/>
      <c r="C53" s="799"/>
      <c r="D53" s="785"/>
      <c r="E53" s="785"/>
      <c r="F53" s="785"/>
      <c r="G53" s="107" t="e">
        <f>'1115-F02 Informe PM'!#REF!</f>
        <v>#REF!</v>
      </c>
      <c r="H53" s="107" t="e">
        <f>'1115-F02 Informe PM'!#REF!</f>
        <v>#REF!</v>
      </c>
      <c r="I53" s="107" t="e">
        <f>'1115-F02 Informe PM'!#REF!</f>
        <v>#REF!</v>
      </c>
      <c r="J53" s="108" t="e">
        <f>'1115-F02 Informe PM'!#REF!</f>
        <v>#REF!</v>
      </c>
      <c r="K53" s="198"/>
      <c r="L53" s="75" t="e">
        <f t="shared" si="18"/>
        <v>#REF!</v>
      </c>
      <c r="M53" s="75" t="e">
        <f t="shared" si="19"/>
        <v>#REF!</v>
      </c>
      <c r="N53" s="75" t="e">
        <f t="shared" si="20"/>
        <v>#REF!</v>
      </c>
      <c r="O53" s="812"/>
      <c r="P53" s="813"/>
      <c r="Q53" s="36" t="e">
        <f t="shared" si="11"/>
        <v>#REF!</v>
      </c>
      <c r="R53" s="28" t="e">
        <f>Q53/3</f>
        <v>#REF!</v>
      </c>
      <c r="S53" s="834"/>
      <c r="T53" s="836"/>
      <c r="U53" s="836"/>
      <c r="V53" s="845"/>
      <c r="W53" s="838"/>
      <c r="X53" s="841"/>
      <c r="Y53" s="851"/>
    </row>
    <row r="54" spans="1:25" s="27" customFormat="1" ht="57" customHeight="1" thickBot="1" x14ac:dyDescent="0.25">
      <c r="A54" s="803"/>
      <c r="B54" s="797"/>
      <c r="C54" s="800"/>
      <c r="D54" s="797"/>
      <c r="E54" s="797"/>
      <c r="F54" s="797"/>
      <c r="G54" s="118" t="e">
        <f>'1115-F02 Informe PM'!#REF!</f>
        <v>#REF!</v>
      </c>
      <c r="H54" s="118" t="e">
        <f>'1115-F02 Informe PM'!#REF!</f>
        <v>#REF!</v>
      </c>
      <c r="I54" s="118" t="e">
        <f>'1115-F02 Informe PM'!#REF!</f>
        <v>#REF!</v>
      </c>
      <c r="J54" s="119" t="e">
        <f>'1115-F02 Informe PM'!#REF!</f>
        <v>#REF!</v>
      </c>
      <c r="K54" s="200"/>
      <c r="L54" s="120" t="e">
        <f t="shared" si="18"/>
        <v>#REF!</v>
      </c>
      <c r="M54" s="120" t="e">
        <f t="shared" si="19"/>
        <v>#REF!</v>
      </c>
      <c r="N54" s="120" t="e">
        <f t="shared" si="20"/>
        <v>#REF!</v>
      </c>
      <c r="O54" s="819"/>
      <c r="P54" s="820"/>
      <c r="Q54" s="48" t="e">
        <f t="shared" si="11"/>
        <v>#REF!</v>
      </c>
      <c r="R54" s="49" t="e">
        <f>Q54/3</f>
        <v>#REF!</v>
      </c>
      <c r="S54" s="847"/>
      <c r="T54" s="843"/>
      <c r="U54" s="843"/>
      <c r="V54" s="846"/>
      <c r="W54" s="839"/>
      <c r="X54" s="842"/>
      <c r="Y54" s="852"/>
    </row>
    <row r="55" spans="1:25" s="27" customFormat="1" ht="102.75" customHeight="1" x14ac:dyDescent="0.2">
      <c r="A55" s="801">
        <f>'1115-F02 Informe PM'!A65</f>
        <v>17</v>
      </c>
      <c r="B55" s="784" t="str">
        <f>'1115-F02 Informe PM'!B65</f>
        <v>17-2019</v>
      </c>
      <c r="C55" s="798" t="str">
        <f>'1115-F02 Informe PM'!C65</f>
        <v>HALLAZGO 17 PRESENTACIÓN DEL PASIVO POR BENEFICIOS POSEMPLEO 
Contrario a lo anterior, la Universidad Tecnológica de Pereira, presentó en el Estado de Situación Financiera a diciembre 31 de 2019 un saldo por $43.287.581.096 por beneficios posempleo, debiendo presentar el valor total neto del pasivo por beneficios posempleo por $43.256.928.503, resultante de descontar del saldo del pasivo por Beneficios Posempleo – Pensiones por $70.323.601.096 (Cuenta 2514 y Nota 9 a los Estados Financieros), el saldo del Plan de Activos para beneficios Posempleo que al cierre de la vigencia ascendió a $27.066.672.593 (Cuenta 1904 y Nota 6).</v>
      </c>
      <c r="D55" s="784" t="str">
        <f>'1115-F02 Informe PM'!D65</f>
        <v xml:space="preserve">Debilidades de control interno contable  </v>
      </c>
      <c r="E55" s="110" t="e">
        <f>'1115-F02 Informe PM'!#REF!</f>
        <v>#REF!</v>
      </c>
      <c r="F55" s="784" t="str">
        <f>'1115-F02 Informe PM'!F65</f>
        <v>Revisión del Procedimiento  establecido para la presentación de los Estados Financieros</v>
      </c>
      <c r="G55" s="80" t="str">
        <f>'1115-F02 Informe PM'!G65</f>
        <v>Actualizar los procedimientos para la presentación de los Estados Financieros.</v>
      </c>
      <c r="H55" s="80" t="str">
        <f>'1115-F02 Informe PM'!I65</f>
        <v>Documento</v>
      </c>
      <c r="I55" s="80">
        <f>'1115-F02 Informe PM'!J65</f>
        <v>1</v>
      </c>
      <c r="J55" s="81">
        <f>'1115-F02 Informe PM'!L65</f>
        <v>44285</v>
      </c>
      <c r="K55" s="196"/>
      <c r="L55" s="74" t="str">
        <f t="shared" si="18"/>
        <v>No</v>
      </c>
      <c r="M55" s="74" t="str">
        <f t="shared" si="19"/>
        <v>No</v>
      </c>
      <c r="N55" s="74" t="str">
        <f t="shared" si="20"/>
        <v>No</v>
      </c>
      <c r="O55" s="825"/>
      <c r="P55" s="822"/>
      <c r="Q55" s="35">
        <f t="shared" si="11"/>
        <v>0</v>
      </c>
      <c r="R55" s="26">
        <f>Q55/2</f>
        <v>0</v>
      </c>
      <c r="S55" s="833" t="e">
        <f>(R55+R56)/$S$10</f>
        <v>#REF!</v>
      </c>
      <c r="T55" s="835" t="e">
        <f>IF(S55=$T$10, "FINALIZADA", "PENDIENTE")</f>
        <v>#REF!</v>
      </c>
      <c r="U55" s="835" t="e">
        <f>S55/$T$10</f>
        <v>#REF!</v>
      </c>
      <c r="V55" s="844" t="e">
        <f>U55/1</f>
        <v>#REF!</v>
      </c>
      <c r="W55" s="837" t="e">
        <f>V55/$S$11</f>
        <v>#REF!</v>
      </c>
      <c r="X55" s="840" t="e">
        <f>IF(W55=$T$11, "SUBSANADO", "PENDIENTE SUBSANAR")</f>
        <v>#REF!</v>
      </c>
      <c r="Y55" s="850" t="e">
        <f>W55/$T$11</f>
        <v>#REF!</v>
      </c>
    </row>
    <row r="56" spans="1:25" s="27" customFormat="1" ht="102.75" customHeight="1" thickBot="1" x14ac:dyDescent="0.25">
      <c r="A56" s="805"/>
      <c r="B56" s="786"/>
      <c r="C56" s="804"/>
      <c r="D56" s="786"/>
      <c r="E56" s="124" t="e">
        <f>'1115-F02 Informe PM'!#REF!</f>
        <v>#REF!</v>
      </c>
      <c r="F56" s="786"/>
      <c r="G56" s="112" t="e">
        <f>'1115-F02 Informe PM'!#REF!</f>
        <v>#REF!</v>
      </c>
      <c r="H56" s="112" t="e">
        <f>'1115-F02 Informe PM'!#REF!</f>
        <v>#REF!</v>
      </c>
      <c r="I56" s="112" t="e">
        <f>'1115-F02 Informe PM'!#REF!</f>
        <v>#REF!</v>
      </c>
      <c r="J56" s="113" t="e">
        <f>'1115-F02 Informe PM'!#REF!</f>
        <v>#REF!</v>
      </c>
      <c r="K56" s="199"/>
      <c r="L56" s="76" t="e">
        <f t="shared" si="18"/>
        <v>#REF!</v>
      </c>
      <c r="M56" s="76" t="e">
        <f t="shared" si="19"/>
        <v>#REF!</v>
      </c>
      <c r="N56" s="76" t="e">
        <f t="shared" si="20"/>
        <v>#REF!</v>
      </c>
      <c r="O56" s="824"/>
      <c r="P56" s="809"/>
      <c r="Q56" s="48" t="e">
        <f t="shared" si="11"/>
        <v>#REF!</v>
      </c>
      <c r="R56" s="49" t="e">
        <f>Q56/2</f>
        <v>#REF!</v>
      </c>
      <c r="S56" s="847"/>
      <c r="T56" s="843"/>
      <c r="U56" s="843"/>
      <c r="V56" s="846"/>
      <c r="W56" s="839"/>
      <c r="X56" s="842"/>
      <c r="Y56" s="852"/>
    </row>
    <row r="57" spans="1:25" s="27" customFormat="1" ht="210.75" customHeight="1" thickBot="1" x14ac:dyDescent="0.25">
      <c r="A57" s="125" t="e">
        <f>'1115-F02 Informe PM'!#REF!</f>
        <v>#REF!</v>
      </c>
      <c r="B57" s="126" t="e">
        <f>'1115-F02 Informe PM'!#REF!</f>
        <v>#REF!</v>
      </c>
      <c r="C57" s="127" t="e">
        <f>'1115-F02 Informe PM'!#REF!</f>
        <v>#REF!</v>
      </c>
      <c r="D57" s="126" t="e">
        <f>'1115-F02 Informe PM'!#REF!</f>
        <v>#REF!</v>
      </c>
      <c r="E57" s="126" t="e">
        <f>'1115-F02 Informe PM'!#REF!</f>
        <v>#REF!</v>
      </c>
      <c r="F57" s="126" t="e">
        <f>'1115-F02 Informe PM'!#REF!</f>
        <v>#REF!</v>
      </c>
      <c r="G57" s="128" t="e">
        <f>'1115-F02 Informe PM'!#REF!</f>
        <v>#REF!</v>
      </c>
      <c r="H57" s="128" t="e">
        <f>'1115-F02 Informe PM'!#REF!</f>
        <v>#REF!</v>
      </c>
      <c r="I57" s="128" t="e">
        <f>'1115-F02 Informe PM'!#REF!</f>
        <v>#REF!</v>
      </c>
      <c r="J57" s="129" t="e">
        <f>'1115-F02 Informe PM'!#REF!</f>
        <v>#REF!</v>
      </c>
      <c r="K57" s="201"/>
      <c r="L57" s="130" t="e">
        <f t="shared" si="18"/>
        <v>#REF!</v>
      </c>
      <c r="M57" s="130" t="e">
        <f t="shared" si="19"/>
        <v>#REF!</v>
      </c>
      <c r="N57" s="130" t="e">
        <f t="shared" si="20"/>
        <v>#REF!</v>
      </c>
      <c r="O57" s="782"/>
      <c r="P57" s="783"/>
      <c r="Q57" s="53" t="e">
        <f t="shared" si="11"/>
        <v>#REF!</v>
      </c>
      <c r="R57" s="30" t="e">
        <f>Q57/1</f>
        <v>#REF!</v>
      </c>
      <c r="S57" s="137" t="e">
        <f>(R57)/$S$10</f>
        <v>#REF!</v>
      </c>
      <c r="T57" s="156" t="e">
        <f>IF(S57=$T$10, "FINALIZADA", "PENDIENTE")</f>
        <v>#REF!</v>
      </c>
      <c r="U57" s="154" t="e">
        <f>S57/$T$10</f>
        <v>#REF!</v>
      </c>
      <c r="V57" s="168" t="e">
        <f>U57/1</f>
        <v>#REF!</v>
      </c>
      <c r="W57" s="166" t="e">
        <f>V57/$S$11</f>
        <v>#REF!</v>
      </c>
      <c r="X57" s="170" t="e">
        <f>IF(W57=$T$11, "SUBSANADO", "PENDIENTE SUBSANAR")</f>
        <v>#REF!</v>
      </c>
      <c r="Y57" s="169" t="e">
        <f>W57/$T$11</f>
        <v>#REF!</v>
      </c>
    </row>
    <row r="58" spans="1:25" s="27" customFormat="1" ht="26.25" customHeight="1" x14ac:dyDescent="0.2">
      <c r="A58" s="801" t="e">
        <f>'1115-F02 Informe PM'!#REF!</f>
        <v>#REF!</v>
      </c>
      <c r="B58" s="784" t="e">
        <f>'1115-F02 Informe PM'!#REF!</f>
        <v>#REF!</v>
      </c>
      <c r="C58" s="798" t="e">
        <f>'1115-F02 Informe PM'!#REF!</f>
        <v>#REF!</v>
      </c>
      <c r="D58" s="784" t="e">
        <f>'1115-F02 Informe PM'!#REF!</f>
        <v>#REF!</v>
      </c>
      <c r="E58" s="784" t="e">
        <f>'1115-F02 Informe PM'!#REF!</f>
        <v>#REF!</v>
      </c>
      <c r="F58" s="784" t="e">
        <f>'1115-F02 Informe PM'!#REF!</f>
        <v>#REF!</v>
      </c>
      <c r="G58" s="80" t="e">
        <f>'1115-F02 Informe PM'!#REF!</f>
        <v>#REF!</v>
      </c>
      <c r="H58" s="80" t="e">
        <f>'1115-F02 Informe PM'!#REF!</f>
        <v>#REF!</v>
      </c>
      <c r="I58" s="80" t="e">
        <f>'1115-F02 Informe PM'!#REF!</f>
        <v>#REF!</v>
      </c>
      <c r="J58" s="81" t="e">
        <f>'1115-F02 Informe PM'!#REF!</f>
        <v>#REF!</v>
      </c>
      <c r="K58" s="196"/>
      <c r="L58" s="74" t="e">
        <f t="shared" si="18"/>
        <v>#REF!</v>
      </c>
      <c r="M58" s="74" t="e">
        <f t="shared" si="19"/>
        <v>#REF!</v>
      </c>
      <c r="N58" s="74" t="e">
        <f t="shared" si="20"/>
        <v>#REF!</v>
      </c>
      <c r="O58" s="825"/>
      <c r="P58" s="822"/>
      <c r="Q58" s="35" t="e">
        <f t="shared" si="11"/>
        <v>#REF!</v>
      </c>
      <c r="R58" s="26" t="e">
        <f>Q58/4</f>
        <v>#REF!</v>
      </c>
      <c r="S58" s="833" t="e">
        <f>(R58+R59+R60+R61)/$S$10</f>
        <v>#REF!</v>
      </c>
      <c r="T58" s="835" t="e">
        <f>IF(S58=$T$10, "FINALIZADA", "PENDIENTE")</f>
        <v>#REF!</v>
      </c>
      <c r="U58" s="835" t="e">
        <f>S58/$T$10</f>
        <v>#REF!</v>
      </c>
      <c r="V58" s="844" t="e">
        <f>U58/2</f>
        <v>#REF!</v>
      </c>
      <c r="W58" s="837" t="e">
        <f>(V58+V62)/$S$11</f>
        <v>#REF!</v>
      </c>
      <c r="X58" s="840" t="e">
        <f>IF(W58=$T$11, "SUBSANADO", "PENDIENTE SUBSANAR")</f>
        <v>#REF!</v>
      </c>
      <c r="Y58" s="850" t="e">
        <f>W58/$T$11</f>
        <v>#REF!</v>
      </c>
    </row>
    <row r="59" spans="1:25" s="27" customFormat="1" ht="48.75" customHeight="1" x14ac:dyDescent="0.2">
      <c r="A59" s="802"/>
      <c r="B59" s="785"/>
      <c r="C59" s="799"/>
      <c r="D59" s="785"/>
      <c r="E59" s="785"/>
      <c r="F59" s="785"/>
      <c r="G59" s="107" t="e">
        <f>'1115-F02 Informe PM'!#REF!</f>
        <v>#REF!</v>
      </c>
      <c r="H59" s="107" t="e">
        <f>'1115-F02 Informe PM'!#REF!</f>
        <v>#REF!</v>
      </c>
      <c r="I59" s="107" t="e">
        <f>'1115-F02 Informe PM'!#REF!</f>
        <v>#REF!</v>
      </c>
      <c r="J59" s="108" t="e">
        <f>'1115-F02 Informe PM'!#REF!</f>
        <v>#REF!</v>
      </c>
      <c r="K59" s="198"/>
      <c r="L59" s="75" t="e">
        <f>IF(AND(K59&lt;I59, K59&gt;0),"Si","No")</f>
        <v>#REF!</v>
      </c>
      <c r="M59" s="75" t="e">
        <f>IF(AND($D$11&gt;J59,K59&lt;I59),"Vencida","No")</f>
        <v>#REF!</v>
      </c>
      <c r="N59" s="75" t="e">
        <f>IF(K59=I59,"Finalizada","No")</f>
        <v>#REF!</v>
      </c>
      <c r="O59" s="812"/>
      <c r="P59" s="813"/>
      <c r="Q59" s="36" t="e">
        <f t="shared" si="11"/>
        <v>#REF!</v>
      </c>
      <c r="R59" s="28" t="e">
        <f>Q59/4</f>
        <v>#REF!</v>
      </c>
      <c r="S59" s="834"/>
      <c r="T59" s="836"/>
      <c r="U59" s="836"/>
      <c r="V59" s="845"/>
      <c r="W59" s="838"/>
      <c r="X59" s="841"/>
      <c r="Y59" s="851"/>
    </row>
    <row r="60" spans="1:25" s="27" customFormat="1" ht="54.75" customHeight="1" x14ac:dyDescent="0.2">
      <c r="A60" s="802"/>
      <c r="B60" s="785"/>
      <c r="C60" s="799"/>
      <c r="D60" s="785"/>
      <c r="E60" s="785"/>
      <c r="F60" s="785"/>
      <c r="G60" s="107" t="e">
        <f>'1115-F02 Informe PM'!#REF!</f>
        <v>#REF!</v>
      </c>
      <c r="H60" s="107" t="e">
        <f>'1115-F02 Informe PM'!#REF!</f>
        <v>#REF!</v>
      </c>
      <c r="I60" s="107" t="e">
        <f>'1115-F02 Informe PM'!#REF!</f>
        <v>#REF!</v>
      </c>
      <c r="J60" s="108" t="e">
        <f>'1115-F02 Informe PM'!#REF!</f>
        <v>#REF!</v>
      </c>
      <c r="K60" s="198"/>
      <c r="L60" s="75" t="e">
        <f>IF(AND(K60&lt;I60, K60&gt;0),"Si","No")</f>
        <v>#REF!</v>
      </c>
      <c r="M60" s="75" t="e">
        <f>IF(AND($D$11&gt;J60,K60&lt;I60),"Vencida","No")</f>
        <v>#REF!</v>
      </c>
      <c r="N60" s="75" t="e">
        <f>IF(K60=I60,"Finalizada","No")</f>
        <v>#REF!</v>
      </c>
      <c r="O60" s="812"/>
      <c r="P60" s="813"/>
      <c r="Q60" s="36" t="e">
        <f t="shared" si="11"/>
        <v>#REF!</v>
      </c>
      <c r="R60" s="28" t="e">
        <f>Q60/4</f>
        <v>#REF!</v>
      </c>
      <c r="S60" s="834"/>
      <c r="T60" s="836"/>
      <c r="U60" s="836"/>
      <c r="V60" s="845"/>
      <c r="W60" s="838"/>
      <c r="X60" s="841"/>
      <c r="Y60" s="851"/>
    </row>
    <row r="61" spans="1:25" s="27" customFormat="1" ht="58.5" customHeight="1" x14ac:dyDescent="0.2">
      <c r="A61" s="802"/>
      <c r="B61" s="785"/>
      <c r="C61" s="799"/>
      <c r="D61" s="785"/>
      <c r="E61" s="785"/>
      <c r="F61" s="785"/>
      <c r="G61" s="107" t="e">
        <f>'1115-F02 Informe PM'!#REF!</f>
        <v>#REF!</v>
      </c>
      <c r="H61" s="107" t="e">
        <f>'1115-F02 Informe PM'!#REF!</f>
        <v>#REF!</v>
      </c>
      <c r="I61" s="107" t="e">
        <f>'1115-F02 Informe PM'!#REF!</f>
        <v>#REF!</v>
      </c>
      <c r="J61" s="108" t="e">
        <f>'1115-F02 Informe PM'!#REF!</f>
        <v>#REF!</v>
      </c>
      <c r="K61" s="198"/>
      <c r="L61" s="75" t="e">
        <f>IF(AND(K61&lt;I61, K61&gt;0),"Si","No")</f>
        <v>#REF!</v>
      </c>
      <c r="M61" s="75" t="e">
        <f>IF(AND($D$11&gt;J61,K61&lt;I61),"Vencida","No")</f>
        <v>#REF!</v>
      </c>
      <c r="N61" s="75" t="e">
        <f>IF(K61=I61,"Finalizada","No")</f>
        <v>#REF!</v>
      </c>
      <c r="O61" s="812"/>
      <c r="P61" s="813"/>
      <c r="Q61" s="36" t="e">
        <f t="shared" si="11"/>
        <v>#REF!</v>
      </c>
      <c r="R61" s="28" t="e">
        <f>Q61/4</f>
        <v>#REF!</v>
      </c>
      <c r="S61" s="834"/>
      <c r="T61" s="836"/>
      <c r="U61" s="836"/>
      <c r="V61" s="845"/>
      <c r="W61" s="838"/>
      <c r="X61" s="841"/>
      <c r="Y61" s="851"/>
    </row>
    <row r="62" spans="1:25" s="27" customFormat="1" ht="13.5" thickBot="1" x14ac:dyDescent="0.25">
      <c r="A62" s="803"/>
      <c r="B62" s="797"/>
      <c r="C62" s="804"/>
      <c r="D62" s="797"/>
      <c r="E62" s="131" t="e">
        <f>'1115-F02 Informe PM'!#REF!</f>
        <v>#REF!</v>
      </c>
      <c r="F62" s="131" t="e">
        <f>'1115-F02 Informe PM'!#REF!</f>
        <v>#REF!</v>
      </c>
      <c r="G62" s="118" t="e">
        <f>'1115-F02 Informe PM'!#REF!</f>
        <v>#REF!</v>
      </c>
      <c r="H62" s="118" t="e">
        <f>'1115-F02 Informe PM'!#REF!</f>
        <v>#REF!</v>
      </c>
      <c r="I62" s="118" t="e">
        <f>'1115-F02 Informe PM'!#REF!</f>
        <v>#REF!</v>
      </c>
      <c r="J62" s="119" t="e">
        <f>'1115-F02 Informe PM'!#REF!</f>
        <v>#REF!</v>
      </c>
      <c r="K62" s="200"/>
      <c r="L62" s="120" t="e">
        <f>IF(AND(K62&lt;I62, K62&gt;0),"Si","No")</f>
        <v>#REF!</v>
      </c>
      <c r="M62" s="120" t="e">
        <f>IF(AND($D$11&gt;J62,K62&lt;I62),"Vencida","No")</f>
        <v>#REF!</v>
      </c>
      <c r="N62" s="120" t="e">
        <f>IF(K62=I62,"Finalizada","No")</f>
        <v>#REF!</v>
      </c>
      <c r="O62" s="819"/>
      <c r="P62" s="820"/>
      <c r="Q62" s="48" t="e">
        <f t="shared" si="11"/>
        <v>#REF!</v>
      </c>
      <c r="R62" s="49" t="e">
        <f>Q62/1</f>
        <v>#REF!</v>
      </c>
      <c r="S62" s="150" t="e">
        <f>(R62)/$S$10</f>
        <v>#REF!</v>
      </c>
      <c r="T62" s="145" t="e">
        <f>IF(S62=$T$10, "FINALIZADA", "PENDIENTE")</f>
        <v>#REF!</v>
      </c>
      <c r="U62" s="151" t="e">
        <f>S62/$T$10</f>
        <v>#REF!</v>
      </c>
      <c r="V62" s="171" t="e">
        <f>U62/2</f>
        <v>#REF!</v>
      </c>
      <c r="W62" s="839"/>
      <c r="X62" s="842"/>
      <c r="Y62" s="852"/>
    </row>
    <row r="63" spans="1:25" s="27" customFormat="1" ht="60" customHeight="1" x14ac:dyDescent="0.2">
      <c r="A63" s="801" t="e">
        <f>'1115-F02 Informe PM'!#REF!</f>
        <v>#REF!</v>
      </c>
      <c r="B63" s="830" t="e">
        <f>'1115-F02 Informe PM'!#REF!</f>
        <v>#REF!</v>
      </c>
      <c r="C63" s="829" t="e">
        <f>'1115-F02 Informe PM'!#REF!</f>
        <v>#REF!</v>
      </c>
      <c r="D63" s="826" t="e">
        <f>'1115-F02 Informe PM'!#REF!</f>
        <v>#REF!</v>
      </c>
      <c r="E63" s="784" t="e">
        <f>'1115-F02 Informe PM'!#REF!</f>
        <v>#REF!</v>
      </c>
      <c r="F63" s="784" t="e">
        <f>'1115-F02 Informe PM'!#REF!</f>
        <v>#REF!</v>
      </c>
      <c r="G63" s="80" t="e">
        <f>'1115-F02 Informe PM'!#REF!</f>
        <v>#REF!</v>
      </c>
      <c r="H63" s="80" t="e">
        <f>'1115-F02 Informe PM'!#REF!</f>
        <v>#REF!</v>
      </c>
      <c r="I63" s="80" t="e">
        <f>'1115-F02 Informe PM'!#REF!</f>
        <v>#REF!</v>
      </c>
      <c r="J63" s="81" t="e">
        <f>'1115-F02 Informe PM'!#REF!</f>
        <v>#REF!</v>
      </c>
      <c r="K63" s="196"/>
      <c r="L63" s="74" t="e">
        <f>IF(AND(K63&lt;I63, K63&gt;0),"Si","No")</f>
        <v>#REF!</v>
      </c>
      <c r="M63" s="74" t="e">
        <f>IF(AND($D$11&gt;J63,K63&lt;I63),"Vencida","No")</f>
        <v>#REF!</v>
      </c>
      <c r="N63" s="155" t="e">
        <f>IF(K63=I63,"Finalizada","No")</f>
        <v>#REF!</v>
      </c>
      <c r="O63" s="821"/>
      <c r="P63" s="822"/>
      <c r="Q63" s="35" t="e">
        <f t="shared" si="11"/>
        <v>#REF!</v>
      </c>
      <c r="R63" s="26" t="e">
        <f>Q63/3</f>
        <v>#REF!</v>
      </c>
      <c r="S63" s="833" t="e">
        <f>(R63+R64+R65)/$S$10</f>
        <v>#REF!</v>
      </c>
      <c r="T63" s="835" t="e">
        <f>IF(S63=$T$10, "FINALIZADA", "PENDIENTE")</f>
        <v>#REF!</v>
      </c>
      <c r="U63" s="835" t="e">
        <f>S63/$T$10</f>
        <v>#REF!</v>
      </c>
      <c r="V63" s="844" t="e">
        <f>U63/4</f>
        <v>#REF!</v>
      </c>
      <c r="W63" s="837" t="e">
        <f>(V63+V66+V67+V69)/$S$11</f>
        <v>#REF!</v>
      </c>
      <c r="X63" s="840" t="e">
        <f>IF(W63=$T$11, "SUBSANADO", "PENDIENTE SUBSANAR")</f>
        <v>#REF!</v>
      </c>
      <c r="Y63" s="850" t="e">
        <f>W63/$T$11</f>
        <v>#REF!</v>
      </c>
    </row>
    <row r="64" spans="1:25" s="27" customFormat="1" ht="88.5" customHeight="1" x14ac:dyDescent="0.2">
      <c r="A64" s="802"/>
      <c r="B64" s="831"/>
      <c r="C64" s="829"/>
      <c r="D64" s="827"/>
      <c r="E64" s="785"/>
      <c r="F64" s="785"/>
      <c r="G64" s="107" t="e">
        <f>'1115-F02 Informe PM'!#REF!</f>
        <v>#REF!</v>
      </c>
      <c r="H64" s="107" t="e">
        <f>'1115-F02 Informe PM'!#REF!</f>
        <v>#REF!</v>
      </c>
      <c r="I64" s="107" t="e">
        <f>'1115-F02 Informe PM'!#REF!</f>
        <v>#REF!</v>
      </c>
      <c r="J64" s="108" t="e">
        <f>'1115-F02 Informe PM'!#REF!</f>
        <v>#REF!</v>
      </c>
      <c r="K64" s="198"/>
      <c r="L64" s="75" t="e">
        <f t="shared" ref="L64:L71" si="21">IF(AND(K64&lt;I64, K64&gt;0),"Si","No")</f>
        <v>#REF!</v>
      </c>
      <c r="M64" s="75" t="e">
        <f t="shared" ref="M64:M71" si="22">IF(AND($D$11&gt;J64,K64&lt;I64),"Vencida","No")</f>
        <v>#REF!</v>
      </c>
      <c r="N64" s="147" t="e">
        <f t="shared" ref="N64:N71" si="23">IF(K64=I64,"Finalizada","No")</f>
        <v>#REF!</v>
      </c>
      <c r="O64" s="823"/>
      <c r="P64" s="813"/>
      <c r="Q64" s="36" t="e">
        <f t="shared" si="11"/>
        <v>#REF!</v>
      </c>
      <c r="R64" s="28" t="e">
        <f>Q64/3</f>
        <v>#REF!</v>
      </c>
      <c r="S64" s="834"/>
      <c r="T64" s="836"/>
      <c r="U64" s="836"/>
      <c r="V64" s="845"/>
      <c r="W64" s="838"/>
      <c r="X64" s="841"/>
      <c r="Y64" s="851"/>
    </row>
    <row r="65" spans="1:25" s="27" customFormat="1" ht="139.5" customHeight="1" x14ac:dyDescent="0.2">
      <c r="A65" s="802"/>
      <c r="B65" s="831"/>
      <c r="C65" s="829"/>
      <c r="D65" s="827"/>
      <c r="E65" s="785"/>
      <c r="F65" s="785"/>
      <c r="G65" s="107" t="e">
        <f>'1115-F02 Informe PM'!#REF!</f>
        <v>#REF!</v>
      </c>
      <c r="H65" s="107" t="e">
        <f>'1115-F02 Informe PM'!#REF!</f>
        <v>#REF!</v>
      </c>
      <c r="I65" s="107" t="e">
        <f>'1115-F02 Informe PM'!#REF!</f>
        <v>#REF!</v>
      </c>
      <c r="J65" s="108" t="e">
        <f>'1115-F02 Informe PM'!#REF!</f>
        <v>#REF!</v>
      </c>
      <c r="K65" s="198"/>
      <c r="L65" s="75" t="e">
        <f t="shared" si="21"/>
        <v>#REF!</v>
      </c>
      <c r="M65" s="75" t="e">
        <f t="shared" si="22"/>
        <v>#REF!</v>
      </c>
      <c r="N65" s="147" t="e">
        <f t="shared" si="23"/>
        <v>#REF!</v>
      </c>
      <c r="O65" s="823"/>
      <c r="P65" s="813"/>
      <c r="Q65" s="36" t="e">
        <f t="shared" si="11"/>
        <v>#REF!</v>
      </c>
      <c r="R65" s="28" t="e">
        <f>Q65/3</f>
        <v>#REF!</v>
      </c>
      <c r="S65" s="834"/>
      <c r="T65" s="836"/>
      <c r="U65" s="836"/>
      <c r="V65" s="845"/>
      <c r="W65" s="838"/>
      <c r="X65" s="841"/>
      <c r="Y65" s="851"/>
    </row>
    <row r="66" spans="1:25" s="27" customFormat="1" ht="118.5" customHeight="1" x14ac:dyDescent="0.2">
      <c r="A66" s="802"/>
      <c r="B66" s="831"/>
      <c r="C66" s="829"/>
      <c r="D66" s="827"/>
      <c r="E66" s="785"/>
      <c r="F66" s="121" t="e">
        <f>'1115-F02 Informe PM'!#REF!</f>
        <v>#REF!</v>
      </c>
      <c r="G66" s="107" t="e">
        <f>'1115-F02 Informe PM'!#REF!</f>
        <v>#REF!</v>
      </c>
      <c r="H66" s="107" t="e">
        <f>'1115-F02 Informe PM'!#REF!</f>
        <v>#REF!</v>
      </c>
      <c r="I66" s="107" t="e">
        <f>'1115-F02 Informe PM'!#REF!</f>
        <v>#REF!</v>
      </c>
      <c r="J66" s="108" t="e">
        <f>'1115-F02 Informe PM'!#REF!</f>
        <v>#REF!</v>
      </c>
      <c r="K66" s="198"/>
      <c r="L66" s="75" t="e">
        <f t="shared" si="21"/>
        <v>#REF!</v>
      </c>
      <c r="M66" s="75" t="e">
        <f t="shared" si="22"/>
        <v>#REF!</v>
      </c>
      <c r="N66" s="147" t="e">
        <f t="shared" si="23"/>
        <v>#REF!</v>
      </c>
      <c r="O66" s="823"/>
      <c r="P66" s="813"/>
      <c r="Q66" s="36" t="e">
        <f t="shared" si="11"/>
        <v>#REF!</v>
      </c>
      <c r="R66" s="28" t="e">
        <f>Q66/1</f>
        <v>#REF!</v>
      </c>
      <c r="S66" s="138" t="e">
        <f>(R66)/$S$10</f>
        <v>#REF!</v>
      </c>
      <c r="T66" s="143" t="e">
        <f>IF(S66=$T$10, "FINALIZADA", "PENDIENTE")</f>
        <v>#REF!</v>
      </c>
      <c r="U66" s="142" t="e">
        <f>S66/$T$10</f>
        <v>#REF!</v>
      </c>
      <c r="V66" s="162" t="e">
        <f>U66/4</f>
        <v>#REF!</v>
      </c>
      <c r="W66" s="838"/>
      <c r="X66" s="841"/>
      <c r="Y66" s="851"/>
    </row>
    <row r="67" spans="1:25" s="27" customFormat="1" ht="123" customHeight="1" x14ac:dyDescent="0.2">
      <c r="A67" s="802"/>
      <c r="B67" s="831"/>
      <c r="C67" s="829"/>
      <c r="D67" s="827"/>
      <c r="E67" s="785"/>
      <c r="F67" s="785" t="e">
        <f>'1115-F02 Informe PM'!#REF!</f>
        <v>#REF!</v>
      </c>
      <c r="G67" s="107" t="e">
        <f>'1115-F02 Informe PM'!#REF!</f>
        <v>#REF!</v>
      </c>
      <c r="H67" s="107" t="e">
        <f>'1115-F02 Informe PM'!#REF!</f>
        <v>#REF!</v>
      </c>
      <c r="I67" s="107" t="e">
        <f>'1115-F02 Informe PM'!#REF!</f>
        <v>#REF!</v>
      </c>
      <c r="J67" s="108" t="e">
        <f>'1115-F02 Informe PM'!#REF!</f>
        <v>#REF!</v>
      </c>
      <c r="K67" s="198"/>
      <c r="L67" s="75" t="e">
        <f t="shared" si="21"/>
        <v>#REF!</v>
      </c>
      <c r="M67" s="75" t="e">
        <f t="shared" si="22"/>
        <v>#REF!</v>
      </c>
      <c r="N67" s="147" t="e">
        <f t="shared" si="23"/>
        <v>#REF!</v>
      </c>
      <c r="O67" s="823"/>
      <c r="P67" s="813"/>
      <c r="Q67" s="36" t="e">
        <f t="shared" si="11"/>
        <v>#REF!</v>
      </c>
      <c r="R67" s="28" t="e">
        <f>Q67/2</f>
        <v>#REF!</v>
      </c>
      <c r="S67" s="834" t="e">
        <f>(R67+R68)/$S$10</f>
        <v>#REF!</v>
      </c>
      <c r="T67" s="836" t="e">
        <f>IF(S67=$T$10, "FINALIZADA", "PENDIENTE")</f>
        <v>#REF!</v>
      </c>
      <c r="U67" s="836" t="e">
        <f>S67/$T$10</f>
        <v>#REF!</v>
      </c>
      <c r="V67" s="845" t="e">
        <f>U67/4</f>
        <v>#REF!</v>
      </c>
      <c r="W67" s="838"/>
      <c r="X67" s="841"/>
      <c r="Y67" s="851"/>
    </row>
    <row r="68" spans="1:25" s="27" customFormat="1" ht="52.5" customHeight="1" x14ac:dyDescent="0.2">
      <c r="A68" s="802"/>
      <c r="B68" s="831"/>
      <c r="C68" s="829"/>
      <c r="D68" s="827"/>
      <c r="E68" s="785"/>
      <c r="F68" s="785"/>
      <c r="G68" s="107" t="e">
        <f>'1115-F02 Informe PM'!#REF!</f>
        <v>#REF!</v>
      </c>
      <c r="H68" s="107" t="e">
        <f>'1115-F02 Informe PM'!#REF!</f>
        <v>#REF!</v>
      </c>
      <c r="I68" s="107" t="e">
        <f>'1115-F02 Informe PM'!#REF!</f>
        <v>#REF!</v>
      </c>
      <c r="J68" s="108" t="e">
        <f>'1115-F02 Informe PM'!#REF!</f>
        <v>#REF!</v>
      </c>
      <c r="K68" s="198"/>
      <c r="L68" s="75" t="e">
        <f t="shared" si="21"/>
        <v>#REF!</v>
      </c>
      <c r="M68" s="75" t="e">
        <f t="shared" si="22"/>
        <v>#REF!</v>
      </c>
      <c r="N68" s="147" t="e">
        <f t="shared" si="23"/>
        <v>#REF!</v>
      </c>
      <c r="O68" s="823"/>
      <c r="P68" s="813"/>
      <c r="Q68" s="36" t="e">
        <f t="shared" si="11"/>
        <v>#REF!</v>
      </c>
      <c r="R68" s="28" t="e">
        <f>Q68/2</f>
        <v>#REF!</v>
      </c>
      <c r="S68" s="834"/>
      <c r="T68" s="836"/>
      <c r="U68" s="836"/>
      <c r="V68" s="845"/>
      <c r="W68" s="838"/>
      <c r="X68" s="841"/>
      <c r="Y68" s="851"/>
    </row>
    <row r="69" spans="1:25" s="27" customFormat="1" ht="78" customHeight="1" x14ac:dyDescent="0.2">
      <c r="A69" s="802"/>
      <c r="B69" s="831"/>
      <c r="C69" s="829" t="e">
        <f>'1115-F02 Informe PM'!#REF!</f>
        <v>#REF!</v>
      </c>
      <c r="D69" s="827"/>
      <c r="E69" s="785" t="e">
        <f>'1115-F02 Informe PM'!#REF!</f>
        <v>#REF!</v>
      </c>
      <c r="F69" s="785" t="e">
        <f>'1115-F02 Informe PM'!#REF!</f>
        <v>#REF!</v>
      </c>
      <c r="G69" s="107" t="e">
        <f>'1115-F02 Informe PM'!#REF!</f>
        <v>#REF!</v>
      </c>
      <c r="H69" s="107" t="e">
        <f>'1115-F02 Informe PM'!#REF!</f>
        <v>#REF!</v>
      </c>
      <c r="I69" s="107" t="e">
        <f>'1115-F02 Informe PM'!#REF!</f>
        <v>#REF!</v>
      </c>
      <c r="J69" s="108" t="e">
        <f>'1115-F02 Informe PM'!#REF!</f>
        <v>#REF!</v>
      </c>
      <c r="K69" s="198"/>
      <c r="L69" s="75" t="e">
        <f t="shared" si="21"/>
        <v>#REF!</v>
      </c>
      <c r="M69" s="75" t="e">
        <f t="shared" si="22"/>
        <v>#REF!</v>
      </c>
      <c r="N69" s="147" t="e">
        <f t="shared" si="23"/>
        <v>#REF!</v>
      </c>
      <c r="O69" s="823"/>
      <c r="P69" s="813"/>
      <c r="Q69" s="36" t="e">
        <f t="shared" si="11"/>
        <v>#REF!</v>
      </c>
      <c r="R69" s="28" t="e">
        <f>Q69/5</f>
        <v>#REF!</v>
      </c>
      <c r="S69" s="834" t="e">
        <f>(R69+R70+R71+R72+R73)/$S$10</f>
        <v>#REF!</v>
      </c>
      <c r="T69" s="836" t="e">
        <f>IF(S69=$T$10, "FINALIZADA", "PENDIENTE")</f>
        <v>#REF!</v>
      </c>
      <c r="U69" s="836" t="e">
        <f>S69/$T$10</f>
        <v>#REF!</v>
      </c>
      <c r="V69" s="845" t="e">
        <f>U69/4</f>
        <v>#REF!</v>
      </c>
      <c r="W69" s="838"/>
      <c r="X69" s="841"/>
      <c r="Y69" s="851"/>
    </row>
    <row r="70" spans="1:25" s="27" customFormat="1" ht="85.5" customHeight="1" x14ac:dyDescent="0.2">
      <c r="A70" s="802"/>
      <c r="B70" s="831"/>
      <c r="C70" s="829"/>
      <c r="D70" s="827"/>
      <c r="E70" s="785"/>
      <c r="F70" s="785"/>
      <c r="G70" s="107" t="e">
        <f>'1115-F02 Informe PM'!#REF!</f>
        <v>#REF!</v>
      </c>
      <c r="H70" s="107" t="e">
        <f>'1115-F02 Informe PM'!#REF!</f>
        <v>#REF!</v>
      </c>
      <c r="I70" s="107" t="e">
        <f>'1115-F02 Informe PM'!#REF!</f>
        <v>#REF!</v>
      </c>
      <c r="J70" s="108" t="e">
        <f>'1115-F02 Informe PM'!#REF!</f>
        <v>#REF!</v>
      </c>
      <c r="K70" s="198"/>
      <c r="L70" s="75" t="e">
        <f t="shared" si="21"/>
        <v>#REF!</v>
      </c>
      <c r="M70" s="75" t="e">
        <f t="shared" si="22"/>
        <v>#REF!</v>
      </c>
      <c r="N70" s="147" t="e">
        <f t="shared" si="23"/>
        <v>#REF!</v>
      </c>
      <c r="O70" s="823"/>
      <c r="P70" s="813"/>
      <c r="Q70" s="36" t="e">
        <f t="shared" si="11"/>
        <v>#REF!</v>
      </c>
      <c r="R70" s="28" t="e">
        <f>Q70/5</f>
        <v>#REF!</v>
      </c>
      <c r="S70" s="834"/>
      <c r="T70" s="836"/>
      <c r="U70" s="836"/>
      <c r="V70" s="845"/>
      <c r="W70" s="838"/>
      <c r="X70" s="841"/>
      <c r="Y70" s="851"/>
    </row>
    <row r="71" spans="1:25" s="27" customFormat="1" ht="102.75" customHeight="1" x14ac:dyDescent="0.2">
      <c r="A71" s="802"/>
      <c r="B71" s="831"/>
      <c r="C71" s="829"/>
      <c r="D71" s="827"/>
      <c r="E71" s="121" t="e">
        <f>'1115-F02 Informe PM'!#REF!</f>
        <v>#REF!</v>
      </c>
      <c r="F71" s="785"/>
      <c r="G71" s="107" t="e">
        <f>'1115-F02 Informe PM'!#REF!</f>
        <v>#REF!</v>
      </c>
      <c r="H71" s="107" t="e">
        <f>'1115-F02 Informe PM'!#REF!</f>
        <v>#REF!</v>
      </c>
      <c r="I71" s="107" t="e">
        <f>'1115-F02 Informe PM'!#REF!</f>
        <v>#REF!</v>
      </c>
      <c r="J71" s="108" t="e">
        <f>'1115-F02 Informe PM'!#REF!</f>
        <v>#REF!</v>
      </c>
      <c r="K71" s="198"/>
      <c r="L71" s="75" t="e">
        <f t="shared" si="21"/>
        <v>#REF!</v>
      </c>
      <c r="M71" s="75" t="e">
        <f t="shared" si="22"/>
        <v>#REF!</v>
      </c>
      <c r="N71" s="147" t="e">
        <f t="shared" si="23"/>
        <v>#REF!</v>
      </c>
      <c r="O71" s="823"/>
      <c r="P71" s="813"/>
      <c r="Q71" s="36" t="e">
        <f t="shared" si="11"/>
        <v>#REF!</v>
      </c>
      <c r="R71" s="28" t="e">
        <f>Q71/5</f>
        <v>#REF!</v>
      </c>
      <c r="S71" s="834"/>
      <c r="T71" s="836"/>
      <c r="U71" s="836"/>
      <c r="V71" s="845"/>
      <c r="W71" s="838"/>
      <c r="X71" s="841"/>
      <c r="Y71" s="851"/>
    </row>
    <row r="72" spans="1:25" s="27" customFormat="1" ht="66" customHeight="1" x14ac:dyDescent="0.2">
      <c r="A72" s="802"/>
      <c r="B72" s="831"/>
      <c r="C72" s="829"/>
      <c r="D72" s="827"/>
      <c r="E72" s="121" t="e">
        <f>'1115-F02 Informe PM'!#REF!</f>
        <v>#REF!</v>
      </c>
      <c r="F72" s="785"/>
      <c r="G72" s="107" t="e">
        <f>'1115-F02 Informe PM'!#REF!</f>
        <v>#REF!</v>
      </c>
      <c r="H72" s="107" t="e">
        <f>'1115-F02 Informe PM'!#REF!</f>
        <v>#REF!</v>
      </c>
      <c r="I72" s="107" t="e">
        <f>'1115-F02 Informe PM'!#REF!</f>
        <v>#REF!</v>
      </c>
      <c r="J72" s="108" t="e">
        <f>'1115-F02 Informe PM'!#REF!</f>
        <v>#REF!</v>
      </c>
      <c r="K72" s="198"/>
      <c r="L72" s="75" t="e">
        <f t="shared" ref="L72:L81" si="24">IF(AND(K72&lt;I72, K72&gt;0),"Si","No")</f>
        <v>#REF!</v>
      </c>
      <c r="M72" s="75" t="e">
        <f t="shared" ref="M72:M81" si="25">IF(AND($D$11&gt;J72,K72&lt;I72),"Vencida","No")</f>
        <v>#REF!</v>
      </c>
      <c r="N72" s="147" t="e">
        <f t="shared" ref="N72:N81" si="26">IF(K72=I72,"Finalizada","No")</f>
        <v>#REF!</v>
      </c>
      <c r="O72" s="823"/>
      <c r="P72" s="813"/>
      <c r="Q72" s="36" t="e">
        <f t="shared" si="11"/>
        <v>#REF!</v>
      </c>
      <c r="R72" s="28" t="e">
        <f>Q72/5</f>
        <v>#REF!</v>
      </c>
      <c r="S72" s="834"/>
      <c r="T72" s="836"/>
      <c r="U72" s="836"/>
      <c r="V72" s="845"/>
      <c r="W72" s="838"/>
      <c r="X72" s="841"/>
      <c r="Y72" s="851"/>
    </row>
    <row r="73" spans="1:25" s="27" customFormat="1" ht="125.25" customHeight="1" thickBot="1" x14ac:dyDescent="0.25">
      <c r="A73" s="803"/>
      <c r="B73" s="832"/>
      <c r="C73" s="829"/>
      <c r="D73" s="828"/>
      <c r="E73" s="131" t="e">
        <f>'1115-F02 Informe PM'!#REF!</f>
        <v>#REF!</v>
      </c>
      <c r="F73" s="797"/>
      <c r="G73" s="118" t="e">
        <f>'1115-F02 Informe PM'!#REF!</f>
        <v>#REF!</v>
      </c>
      <c r="H73" s="118" t="e">
        <f>'1115-F02 Informe PM'!#REF!</f>
        <v>#REF!</v>
      </c>
      <c r="I73" s="118" t="e">
        <f>'1115-F02 Informe PM'!#REF!</f>
        <v>#REF!</v>
      </c>
      <c r="J73" s="119" t="e">
        <f>'1115-F02 Informe PM'!#REF!</f>
        <v>#REF!</v>
      </c>
      <c r="K73" s="200"/>
      <c r="L73" s="120" t="e">
        <f t="shared" si="24"/>
        <v>#REF!</v>
      </c>
      <c r="M73" s="120" t="e">
        <f t="shared" si="25"/>
        <v>#REF!</v>
      </c>
      <c r="N73" s="148" t="e">
        <f t="shared" si="26"/>
        <v>#REF!</v>
      </c>
      <c r="O73" s="808"/>
      <c r="P73" s="809"/>
      <c r="Q73" s="48" t="e">
        <f t="shared" si="11"/>
        <v>#REF!</v>
      </c>
      <c r="R73" s="49" t="e">
        <f>Q73/5</f>
        <v>#REF!</v>
      </c>
      <c r="S73" s="847"/>
      <c r="T73" s="843"/>
      <c r="U73" s="843"/>
      <c r="V73" s="846"/>
      <c r="W73" s="839"/>
      <c r="X73" s="842"/>
      <c r="Y73" s="852"/>
    </row>
    <row r="74" spans="1:25" s="27" customFormat="1" ht="102.75" customHeight="1" x14ac:dyDescent="0.2">
      <c r="A74" s="801" t="e">
        <f>'1115-F02 Informe PM'!#REF!</f>
        <v>#REF!</v>
      </c>
      <c r="B74" s="784" t="e">
        <f>'1115-F02 Informe PM'!#REF!</f>
        <v>#REF!</v>
      </c>
      <c r="C74" s="798" t="e">
        <f>'1115-F02 Informe PM'!#REF!</f>
        <v>#REF!</v>
      </c>
      <c r="D74" s="784" t="e">
        <f>'1115-F02 Informe PM'!#REF!</f>
        <v>#REF!</v>
      </c>
      <c r="E74" s="784" t="e">
        <f>'1115-F02 Informe PM'!#REF!</f>
        <v>#REF!</v>
      </c>
      <c r="F74" s="784" t="e">
        <f>'1115-F02 Informe PM'!#REF!</f>
        <v>#REF!</v>
      </c>
      <c r="G74" s="80" t="e">
        <f>'1115-F02 Informe PM'!#REF!</f>
        <v>#REF!</v>
      </c>
      <c r="H74" s="80" t="e">
        <f>'1115-F02 Informe PM'!#REF!</f>
        <v>#REF!</v>
      </c>
      <c r="I74" s="80" t="e">
        <f>'1115-F02 Informe PM'!#REF!</f>
        <v>#REF!</v>
      </c>
      <c r="J74" s="81" t="e">
        <f>'1115-F02 Informe PM'!#REF!</f>
        <v>#REF!</v>
      </c>
      <c r="K74" s="196"/>
      <c r="L74" s="74" t="e">
        <f t="shared" si="24"/>
        <v>#REF!</v>
      </c>
      <c r="M74" s="74" t="e">
        <f t="shared" si="25"/>
        <v>#REF!</v>
      </c>
      <c r="N74" s="74" t="e">
        <f t="shared" si="26"/>
        <v>#REF!</v>
      </c>
      <c r="O74" s="810"/>
      <c r="P74" s="811"/>
      <c r="Q74" s="35" t="e">
        <f t="shared" si="11"/>
        <v>#REF!</v>
      </c>
      <c r="R74" s="26" t="e">
        <f>Q74/3</f>
        <v>#REF!</v>
      </c>
      <c r="S74" s="833" t="e">
        <f>(R74+R75+R76)/$S$10</f>
        <v>#REF!</v>
      </c>
      <c r="T74" s="835" t="e">
        <f>IF(S74=$T$10, "FINALIZADA", "PENDIENTE")</f>
        <v>#REF!</v>
      </c>
      <c r="U74" s="835" t="e">
        <f>S74/$T$10</f>
        <v>#REF!</v>
      </c>
      <c r="V74" s="844" t="e">
        <f>U74/1</f>
        <v>#REF!</v>
      </c>
      <c r="W74" s="837" t="e">
        <f>V74/$S$11</f>
        <v>#REF!</v>
      </c>
      <c r="X74" s="840" t="e">
        <f>IF(W74=$T$11, "SUBSANADO", "PENDIENTE SUBSANAR")</f>
        <v>#REF!</v>
      </c>
      <c r="Y74" s="850" t="e">
        <f>W74/$T$11</f>
        <v>#REF!</v>
      </c>
    </row>
    <row r="75" spans="1:25" s="27" customFormat="1" ht="102.75" customHeight="1" x14ac:dyDescent="0.2">
      <c r="A75" s="802"/>
      <c r="B75" s="785"/>
      <c r="C75" s="799"/>
      <c r="D75" s="785"/>
      <c r="E75" s="785"/>
      <c r="F75" s="785"/>
      <c r="G75" s="107" t="e">
        <f>'1115-F02 Informe PM'!#REF!</f>
        <v>#REF!</v>
      </c>
      <c r="H75" s="107" t="e">
        <f>'1115-F02 Informe PM'!#REF!</f>
        <v>#REF!</v>
      </c>
      <c r="I75" s="107" t="e">
        <f>'1115-F02 Informe PM'!#REF!</f>
        <v>#REF!</v>
      </c>
      <c r="J75" s="108" t="e">
        <f>'1115-F02 Informe PM'!#REF!</f>
        <v>#REF!</v>
      </c>
      <c r="K75" s="198"/>
      <c r="L75" s="75" t="e">
        <f t="shared" si="24"/>
        <v>#REF!</v>
      </c>
      <c r="M75" s="75" t="e">
        <f t="shared" si="25"/>
        <v>#REF!</v>
      </c>
      <c r="N75" s="75" t="e">
        <f t="shared" si="26"/>
        <v>#REF!</v>
      </c>
      <c r="O75" s="812"/>
      <c r="P75" s="813"/>
      <c r="Q75" s="36" t="e">
        <f t="shared" si="11"/>
        <v>#REF!</v>
      </c>
      <c r="R75" s="28" t="e">
        <f>Q75/3</f>
        <v>#REF!</v>
      </c>
      <c r="S75" s="834"/>
      <c r="T75" s="836"/>
      <c r="U75" s="836"/>
      <c r="V75" s="845"/>
      <c r="W75" s="838"/>
      <c r="X75" s="841"/>
      <c r="Y75" s="851"/>
    </row>
    <row r="76" spans="1:25" s="27" customFormat="1" ht="102.75" customHeight="1" thickBot="1" x14ac:dyDescent="0.25">
      <c r="A76" s="805"/>
      <c r="B76" s="786"/>
      <c r="C76" s="804"/>
      <c r="D76" s="786"/>
      <c r="E76" s="786"/>
      <c r="F76" s="786"/>
      <c r="G76" s="112" t="e">
        <f>'1115-F02 Informe PM'!#REF!</f>
        <v>#REF!</v>
      </c>
      <c r="H76" s="112" t="e">
        <f>'1115-F02 Informe PM'!#REF!</f>
        <v>#REF!</v>
      </c>
      <c r="I76" s="112" t="e">
        <f>'1115-F02 Informe PM'!#REF!</f>
        <v>#REF!</v>
      </c>
      <c r="J76" s="113" t="e">
        <f>'1115-F02 Informe PM'!#REF!</f>
        <v>#REF!</v>
      </c>
      <c r="K76" s="199"/>
      <c r="L76" s="76" t="e">
        <f t="shared" si="24"/>
        <v>#REF!</v>
      </c>
      <c r="M76" s="76" t="e">
        <f t="shared" si="25"/>
        <v>#REF!</v>
      </c>
      <c r="N76" s="76" t="e">
        <f t="shared" si="26"/>
        <v>#REF!</v>
      </c>
      <c r="O76" s="824"/>
      <c r="P76" s="809"/>
      <c r="Q76" s="48" t="e">
        <f t="shared" si="11"/>
        <v>#REF!</v>
      </c>
      <c r="R76" s="49" t="e">
        <f>Q76/3</f>
        <v>#REF!</v>
      </c>
      <c r="S76" s="847"/>
      <c r="T76" s="843"/>
      <c r="U76" s="843"/>
      <c r="V76" s="846"/>
      <c r="W76" s="839"/>
      <c r="X76" s="842"/>
      <c r="Y76" s="852"/>
    </row>
    <row r="77" spans="1:25" s="27" customFormat="1" ht="119.25" customHeight="1" thickBot="1" x14ac:dyDescent="0.25">
      <c r="A77" s="122" t="e">
        <f>'1115-F02 Informe PM'!#REF!</f>
        <v>#REF!</v>
      </c>
      <c r="B77" s="117" t="e">
        <f>'1115-F02 Informe PM'!#REF!</f>
        <v>#REF!</v>
      </c>
      <c r="C77" s="123" t="e">
        <f>'1115-F02 Informe PM'!#REF!</f>
        <v>#REF!</v>
      </c>
      <c r="D77" s="117" t="e">
        <f>'1115-F02 Informe PM'!#REF!</f>
        <v>#REF!</v>
      </c>
      <c r="E77" s="117" t="e">
        <f>'1115-F02 Informe PM'!#REF!</f>
        <v>#REF!</v>
      </c>
      <c r="F77" s="117" t="e">
        <f>'1115-F02 Informe PM'!#REF!</f>
        <v>#REF!</v>
      </c>
      <c r="G77" s="105" t="e">
        <f>'1115-F02 Informe PM'!#REF!</f>
        <v>#REF!</v>
      </c>
      <c r="H77" s="105" t="e">
        <f>'1115-F02 Informe PM'!#REF!</f>
        <v>#REF!</v>
      </c>
      <c r="I77" s="105" t="e">
        <f>'1115-F02 Informe PM'!#REF!</f>
        <v>#REF!</v>
      </c>
      <c r="J77" s="106" t="e">
        <f>'1115-F02 Informe PM'!#REF!</f>
        <v>#REF!</v>
      </c>
      <c r="K77" s="195"/>
      <c r="L77" s="77" t="e">
        <f t="shared" si="24"/>
        <v>#REF!</v>
      </c>
      <c r="M77" s="77" t="e">
        <f t="shared" si="25"/>
        <v>#REF!</v>
      </c>
      <c r="N77" s="77" t="e">
        <f t="shared" si="26"/>
        <v>#REF!</v>
      </c>
      <c r="O77" s="782"/>
      <c r="P77" s="783"/>
      <c r="Q77" s="52" t="e">
        <f t="shared" si="11"/>
        <v>#REF!</v>
      </c>
      <c r="R77" s="29" t="e">
        <f>Q77/1</f>
        <v>#REF!</v>
      </c>
      <c r="S77" s="152" t="e">
        <f t="shared" ref="S77:S90" si="27">(R77)/$S$10</f>
        <v>#REF!</v>
      </c>
      <c r="T77" s="159" t="e">
        <f>IF(S77=$T$10, "FINALIZADA", "PENDIENTE")</f>
        <v>#REF!</v>
      </c>
      <c r="U77" s="153" t="e">
        <f>S77/$T$10</f>
        <v>#REF!</v>
      </c>
      <c r="V77" s="160" t="e">
        <f>U77/1</f>
        <v>#REF!</v>
      </c>
      <c r="W77" s="165" t="e">
        <f>V77/$S$11</f>
        <v>#REF!</v>
      </c>
      <c r="X77" s="163" t="e">
        <f t="shared" ref="X77:X90" si="28">IF(W77=$T$11, "SUBSANADO", "PENDIENTE SUBSANAR")</f>
        <v>#REF!</v>
      </c>
      <c r="Y77" s="164" t="e">
        <f>W77/$T$11</f>
        <v>#REF!</v>
      </c>
    </row>
    <row r="78" spans="1:25" s="27" customFormat="1" ht="126" customHeight="1" thickBot="1" x14ac:dyDescent="0.25">
      <c r="A78" s="109" t="e">
        <f>'1115-F02 Informe PM'!#REF!</f>
        <v>#REF!</v>
      </c>
      <c r="B78" s="110" t="e">
        <f>'1115-F02 Informe PM'!#REF!</f>
        <v>#REF!</v>
      </c>
      <c r="C78" s="111" t="e">
        <f>'1115-F02 Informe PM'!#REF!</f>
        <v>#REF!</v>
      </c>
      <c r="D78" s="110" t="e">
        <f>'1115-F02 Informe PM'!#REF!</f>
        <v>#REF!</v>
      </c>
      <c r="E78" s="110" t="e">
        <f>'1115-F02 Informe PM'!#REF!</f>
        <v>#REF!</v>
      </c>
      <c r="F78" s="110" t="e">
        <f>'1115-F02 Informe PM'!#REF!</f>
        <v>#REF!</v>
      </c>
      <c r="G78" s="80" t="e">
        <f>'1115-F02 Informe PM'!#REF!</f>
        <v>#REF!</v>
      </c>
      <c r="H78" s="80" t="e">
        <f>'1115-F02 Informe PM'!#REF!</f>
        <v>#REF!</v>
      </c>
      <c r="I78" s="80" t="e">
        <f>'1115-F02 Informe PM'!#REF!</f>
        <v>#REF!</v>
      </c>
      <c r="J78" s="81" t="e">
        <f>'1115-F02 Informe PM'!#REF!</f>
        <v>#REF!</v>
      </c>
      <c r="K78" s="196"/>
      <c r="L78" s="74" t="e">
        <f t="shared" si="24"/>
        <v>#REF!</v>
      </c>
      <c r="M78" s="74" t="e">
        <f t="shared" si="25"/>
        <v>#REF!</v>
      </c>
      <c r="N78" s="74" t="e">
        <f t="shared" si="26"/>
        <v>#REF!</v>
      </c>
      <c r="O78" s="806"/>
      <c r="P78" s="807"/>
      <c r="Q78" s="52" t="e">
        <f t="shared" si="11"/>
        <v>#REF!</v>
      </c>
      <c r="R78" s="29" t="e">
        <f t="shared" ref="R78:R90" si="29">Q78/1</f>
        <v>#REF!</v>
      </c>
      <c r="S78" s="152" t="e">
        <f t="shared" si="27"/>
        <v>#REF!</v>
      </c>
      <c r="T78" s="159" t="e">
        <f t="shared" ref="T78:T90" si="30">IF(S78=$T$10, "FINALIZADA", "PENDIENTE")</f>
        <v>#REF!</v>
      </c>
      <c r="U78" s="153" t="e">
        <f>S78/$T$10</f>
        <v>#REF!</v>
      </c>
      <c r="V78" s="160" t="e">
        <f>U78/1</f>
        <v>#REF!</v>
      </c>
      <c r="W78" s="165" t="e">
        <f t="shared" ref="W78:W90" si="31">V78/$S$11</f>
        <v>#REF!</v>
      </c>
      <c r="X78" s="163" t="e">
        <f t="shared" si="28"/>
        <v>#REF!</v>
      </c>
      <c r="Y78" s="164" t="e">
        <f>W78/$T$11</f>
        <v>#REF!</v>
      </c>
    </row>
    <row r="79" spans="1:25" s="27" customFormat="1" ht="13.5" thickBot="1" x14ac:dyDescent="0.25">
      <c r="A79" s="109" t="e">
        <f>'1115-F02 Informe PM'!#REF!</f>
        <v>#REF!</v>
      </c>
      <c r="B79" s="110" t="e">
        <f>'1115-F02 Informe PM'!#REF!</f>
        <v>#REF!</v>
      </c>
      <c r="C79" s="111" t="e">
        <f>'1115-F02 Informe PM'!#REF!</f>
        <v>#REF!</v>
      </c>
      <c r="D79" s="110" t="e">
        <f>'1115-F02 Informe PM'!#REF!</f>
        <v>#REF!</v>
      </c>
      <c r="E79" s="110" t="e">
        <f>'1115-F02 Informe PM'!#REF!</f>
        <v>#REF!</v>
      </c>
      <c r="F79" s="110" t="e">
        <f>'1115-F02 Informe PM'!#REF!</f>
        <v>#REF!</v>
      </c>
      <c r="G79" s="80" t="e">
        <f>'1115-F02 Informe PM'!#REF!</f>
        <v>#REF!</v>
      </c>
      <c r="H79" s="80" t="e">
        <f>'1115-F02 Informe PM'!#REF!</f>
        <v>#REF!</v>
      </c>
      <c r="I79" s="80" t="e">
        <f>'1115-F02 Informe PM'!#REF!</f>
        <v>#REF!</v>
      </c>
      <c r="J79" s="81" t="e">
        <f>'1115-F02 Informe PM'!#REF!</f>
        <v>#REF!</v>
      </c>
      <c r="K79" s="196"/>
      <c r="L79" s="74" t="e">
        <f t="shared" si="24"/>
        <v>#REF!</v>
      </c>
      <c r="M79" s="74" t="e">
        <f t="shared" si="25"/>
        <v>#REF!</v>
      </c>
      <c r="N79" s="74" t="e">
        <f t="shared" si="26"/>
        <v>#REF!</v>
      </c>
      <c r="O79" s="806"/>
      <c r="P79" s="807"/>
      <c r="Q79" s="52" t="e">
        <f t="shared" si="11"/>
        <v>#REF!</v>
      </c>
      <c r="R79" s="29" t="e">
        <f t="shared" si="29"/>
        <v>#REF!</v>
      </c>
      <c r="S79" s="152" t="e">
        <f t="shared" si="27"/>
        <v>#REF!</v>
      </c>
      <c r="T79" s="159" t="e">
        <f t="shared" si="30"/>
        <v>#REF!</v>
      </c>
      <c r="U79" s="153" t="e">
        <f>S79/$T$10</f>
        <v>#REF!</v>
      </c>
      <c r="V79" s="160" t="e">
        <f>U79/1</f>
        <v>#REF!</v>
      </c>
      <c r="W79" s="165" t="e">
        <f t="shared" si="31"/>
        <v>#REF!</v>
      </c>
      <c r="X79" s="163" t="e">
        <f t="shared" si="28"/>
        <v>#REF!</v>
      </c>
      <c r="Y79" s="164" t="e">
        <f>W79/$T$11</f>
        <v>#REF!</v>
      </c>
    </row>
    <row r="80" spans="1:25" s="27" customFormat="1" ht="250.5" customHeight="1" thickBot="1" x14ac:dyDescent="0.25">
      <c r="A80" s="109" t="e">
        <f>'1115-F02 Informe PM'!#REF!</f>
        <v>#REF!</v>
      </c>
      <c r="B80" s="110" t="e">
        <f>'1115-F02 Informe PM'!#REF!</f>
        <v>#REF!</v>
      </c>
      <c r="C80" s="111" t="e">
        <f>'1115-F02 Informe PM'!#REF!</f>
        <v>#REF!</v>
      </c>
      <c r="D80" s="110" t="e">
        <f>'1115-F02 Informe PM'!#REF!</f>
        <v>#REF!</v>
      </c>
      <c r="E80" s="110" t="e">
        <f>'1115-F02 Informe PM'!#REF!</f>
        <v>#REF!</v>
      </c>
      <c r="F80" s="110" t="e">
        <f>'1115-F02 Informe PM'!#REF!</f>
        <v>#REF!</v>
      </c>
      <c r="G80" s="80" t="e">
        <f>'1115-F02 Informe PM'!#REF!</f>
        <v>#REF!</v>
      </c>
      <c r="H80" s="80" t="e">
        <f>'1115-F02 Informe PM'!#REF!</f>
        <v>#REF!</v>
      </c>
      <c r="I80" s="80" t="e">
        <f>'1115-F02 Informe PM'!#REF!</f>
        <v>#REF!</v>
      </c>
      <c r="J80" s="81" t="e">
        <f>'1115-F02 Informe PM'!#REF!</f>
        <v>#REF!</v>
      </c>
      <c r="K80" s="196"/>
      <c r="L80" s="74" t="e">
        <f t="shared" si="24"/>
        <v>#REF!</v>
      </c>
      <c r="M80" s="74" t="e">
        <f t="shared" si="25"/>
        <v>#REF!</v>
      </c>
      <c r="N80" s="74" t="e">
        <f t="shared" si="26"/>
        <v>#REF!</v>
      </c>
      <c r="O80" s="806"/>
      <c r="P80" s="807"/>
      <c r="Q80" s="52" t="e">
        <f t="shared" ref="Q80:Q90" si="32">K80/I80</f>
        <v>#REF!</v>
      </c>
      <c r="R80" s="29" t="e">
        <f t="shared" si="29"/>
        <v>#REF!</v>
      </c>
      <c r="S80" s="152" t="e">
        <f t="shared" si="27"/>
        <v>#REF!</v>
      </c>
      <c r="T80" s="159" t="e">
        <f t="shared" si="30"/>
        <v>#REF!</v>
      </c>
      <c r="U80" s="153" t="e">
        <f t="shared" ref="U80:U90" si="33">S80/$T$10</f>
        <v>#REF!</v>
      </c>
      <c r="V80" s="160" t="e">
        <f t="shared" ref="V80:V90" si="34">U80/1</f>
        <v>#REF!</v>
      </c>
      <c r="W80" s="165" t="e">
        <f t="shared" si="31"/>
        <v>#REF!</v>
      </c>
      <c r="X80" s="163" t="e">
        <f t="shared" si="28"/>
        <v>#REF!</v>
      </c>
      <c r="Y80" s="164" t="e">
        <f t="shared" ref="Y80:Y90" si="35">W80/$T$11</f>
        <v>#REF!</v>
      </c>
    </row>
    <row r="81" spans="1:25" s="27" customFormat="1" ht="153.75" customHeight="1" thickBot="1" x14ac:dyDescent="0.25">
      <c r="A81" s="109" t="e">
        <f>'1115-F02 Informe PM'!#REF!</f>
        <v>#REF!</v>
      </c>
      <c r="B81" s="110" t="e">
        <f>'1115-F02 Informe PM'!#REF!</f>
        <v>#REF!</v>
      </c>
      <c r="C81" s="111" t="e">
        <f>'1115-F02 Informe PM'!#REF!</f>
        <v>#REF!</v>
      </c>
      <c r="D81" s="110" t="e">
        <f>'1115-F02 Informe PM'!#REF!</f>
        <v>#REF!</v>
      </c>
      <c r="E81" s="110" t="e">
        <f>'1115-F02 Informe PM'!#REF!</f>
        <v>#REF!</v>
      </c>
      <c r="F81" s="110" t="e">
        <f>'1115-F02 Informe PM'!#REF!</f>
        <v>#REF!</v>
      </c>
      <c r="G81" s="80" t="e">
        <f>'1115-F02 Informe PM'!#REF!</f>
        <v>#REF!</v>
      </c>
      <c r="H81" s="80" t="e">
        <f>'1115-F02 Informe PM'!#REF!</f>
        <v>#REF!</v>
      </c>
      <c r="I81" s="80" t="e">
        <f>'1115-F02 Informe PM'!#REF!</f>
        <v>#REF!</v>
      </c>
      <c r="J81" s="81" t="e">
        <f>'1115-F02 Informe PM'!#REF!</f>
        <v>#REF!</v>
      </c>
      <c r="K81" s="196"/>
      <c r="L81" s="74" t="e">
        <f t="shared" si="24"/>
        <v>#REF!</v>
      </c>
      <c r="M81" s="74" t="e">
        <f t="shared" si="25"/>
        <v>#REF!</v>
      </c>
      <c r="N81" s="74" t="e">
        <f t="shared" si="26"/>
        <v>#REF!</v>
      </c>
      <c r="O81" s="806"/>
      <c r="P81" s="807"/>
      <c r="Q81" s="52" t="e">
        <f t="shared" si="32"/>
        <v>#REF!</v>
      </c>
      <c r="R81" s="29" t="e">
        <f t="shared" si="29"/>
        <v>#REF!</v>
      </c>
      <c r="S81" s="152" t="e">
        <f t="shared" si="27"/>
        <v>#REF!</v>
      </c>
      <c r="T81" s="159" t="e">
        <f t="shared" si="30"/>
        <v>#REF!</v>
      </c>
      <c r="U81" s="153" t="e">
        <f t="shared" si="33"/>
        <v>#REF!</v>
      </c>
      <c r="V81" s="160" t="e">
        <f t="shared" si="34"/>
        <v>#REF!</v>
      </c>
      <c r="W81" s="165" t="e">
        <f t="shared" si="31"/>
        <v>#REF!</v>
      </c>
      <c r="X81" s="163" t="e">
        <f t="shared" si="28"/>
        <v>#REF!</v>
      </c>
      <c r="Y81" s="164" t="e">
        <f t="shared" si="35"/>
        <v>#REF!</v>
      </c>
    </row>
    <row r="82" spans="1:25" s="27" customFormat="1" ht="13.5" thickBot="1" x14ac:dyDescent="0.25">
      <c r="A82" s="109" t="e">
        <f>'1115-F02 Informe PM'!#REF!</f>
        <v>#REF!</v>
      </c>
      <c r="B82" s="110" t="e">
        <f>'1115-F02 Informe PM'!#REF!</f>
        <v>#REF!</v>
      </c>
      <c r="C82" s="111" t="e">
        <f>'1115-F02 Informe PM'!#REF!</f>
        <v>#REF!</v>
      </c>
      <c r="D82" s="110" t="e">
        <f>'1115-F02 Informe PM'!#REF!</f>
        <v>#REF!</v>
      </c>
      <c r="E82" s="110" t="e">
        <f>'1115-F02 Informe PM'!#REF!</f>
        <v>#REF!</v>
      </c>
      <c r="F82" s="110" t="e">
        <f>'1115-F02 Informe PM'!#REF!</f>
        <v>#REF!</v>
      </c>
      <c r="G82" s="80" t="e">
        <f>'1115-F02 Informe PM'!#REF!</f>
        <v>#REF!</v>
      </c>
      <c r="H82" s="80" t="e">
        <f>'1115-F02 Informe PM'!#REF!</f>
        <v>#REF!</v>
      </c>
      <c r="I82" s="80" t="e">
        <f>'1115-F02 Informe PM'!#REF!</f>
        <v>#REF!</v>
      </c>
      <c r="J82" s="81" t="e">
        <f>'1115-F02 Informe PM'!#REF!</f>
        <v>#REF!</v>
      </c>
      <c r="K82" s="196"/>
      <c r="L82" s="74" t="e">
        <f t="shared" ref="L82:L89" si="36">IF(AND(K82&lt;I82, K82&gt;0),"Si","No")</f>
        <v>#REF!</v>
      </c>
      <c r="M82" s="74" t="e">
        <f t="shared" ref="M82:M89" si="37">IF(AND($D$11&gt;J82,K82&lt;I82),"Vencida","No")</f>
        <v>#REF!</v>
      </c>
      <c r="N82" s="74" t="e">
        <f t="shared" ref="N82:N89" si="38">IF(K82=I82,"Finalizada","No")</f>
        <v>#REF!</v>
      </c>
      <c r="O82" s="806"/>
      <c r="P82" s="807"/>
      <c r="Q82" s="52" t="e">
        <f t="shared" si="32"/>
        <v>#REF!</v>
      </c>
      <c r="R82" s="29" t="e">
        <f t="shared" si="29"/>
        <v>#REF!</v>
      </c>
      <c r="S82" s="152" t="e">
        <f t="shared" si="27"/>
        <v>#REF!</v>
      </c>
      <c r="T82" s="159" t="e">
        <f t="shared" si="30"/>
        <v>#REF!</v>
      </c>
      <c r="U82" s="153" t="e">
        <f t="shared" si="33"/>
        <v>#REF!</v>
      </c>
      <c r="V82" s="160" t="e">
        <f t="shared" si="34"/>
        <v>#REF!</v>
      </c>
      <c r="W82" s="165" t="e">
        <f t="shared" si="31"/>
        <v>#REF!</v>
      </c>
      <c r="X82" s="163" t="e">
        <f t="shared" si="28"/>
        <v>#REF!</v>
      </c>
      <c r="Y82" s="164" t="e">
        <f t="shared" si="35"/>
        <v>#REF!</v>
      </c>
    </row>
    <row r="83" spans="1:25" s="27" customFormat="1" ht="13.5" thickBot="1" x14ac:dyDescent="0.25">
      <c r="A83" s="109" t="e">
        <f>'1115-F02 Informe PM'!#REF!</f>
        <v>#REF!</v>
      </c>
      <c r="B83" s="110" t="e">
        <f>'1115-F02 Informe PM'!#REF!</f>
        <v>#REF!</v>
      </c>
      <c r="C83" s="111" t="e">
        <f>'1115-F02 Informe PM'!#REF!</f>
        <v>#REF!</v>
      </c>
      <c r="D83" s="110" t="e">
        <f>'1115-F02 Informe PM'!#REF!</f>
        <v>#REF!</v>
      </c>
      <c r="E83" s="110" t="e">
        <f>'1115-F02 Informe PM'!#REF!</f>
        <v>#REF!</v>
      </c>
      <c r="F83" s="110" t="e">
        <f>'1115-F02 Informe PM'!#REF!</f>
        <v>#REF!</v>
      </c>
      <c r="G83" s="80" t="e">
        <f>'1115-F02 Informe PM'!#REF!</f>
        <v>#REF!</v>
      </c>
      <c r="H83" s="80" t="e">
        <f>'1115-F02 Informe PM'!#REF!</f>
        <v>#REF!</v>
      </c>
      <c r="I83" s="80" t="e">
        <f>'1115-F02 Informe PM'!#REF!</f>
        <v>#REF!</v>
      </c>
      <c r="J83" s="81" t="e">
        <f>'1115-F02 Informe PM'!#REF!</f>
        <v>#REF!</v>
      </c>
      <c r="K83" s="196"/>
      <c r="L83" s="74" t="e">
        <f t="shared" si="36"/>
        <v>#REF!</v>
      </c>
      <c r="M83" s="74" t="e">
        <f t="shared" si="37"/>
        <v>#REF!</v>
      </c>
      <c r="N83" s="74" t="e">
        <f t="shared" si="38"/>
        <v>#REF!</v>
      </c>
      <c r="O83" s="806"/>
      <c r="P83" s="807"/>
      <c r="Q83" s="52" t="e">
        <f t="shared" si="32"/>
        <v>#REF!</v>
      </c>
      <c r="R83" s="29" t="e">
        <f t="shared" si="29"/>
        <v>#REF!</v>
      </c>
      <c r="S83" s="152" t="e">
        <f t="shared" si="27"/>
        <v>#REF!</v>
      </c>
      <c r="T83" s="159" t="e">
        <f t="shared" si="30"/>
        <v>#REF!</v>
      </c>
      <c r="U83" s="153" t="e">
        <f t="shared" si="33"/>
        <v>#REF!</v>
      </c>
      <c r="V83" s="160" t="e">
        <f t="shared" si="34"/>
        <v>#REF!</v>
      </c>
      <c r="W83" s="165" t="e">
        <f t="shared" si="31"/>
        <v>#REF!</v>
      </c>
      <c r="X83" s="163" t="e">
        <f t="shared" si="28"/>
        <v>#REF!</v>
      </c>
      <c r="Y83" s="164" t="e">
        <f t="shared" si="35"/>
        <v>#REF!</v>
      </c>
    </row>
    <row r="84" spans="1:25" s="27" customFormat="1" ht="13.5" thickBot="1" x14ac:dyDescent="0.25">
      <c r="A84" s="109" t="e">
        <f>'1115-F02 Informe PM'!#REF!</f>
        <v>#REF!</v>
      </c>
      <c r="B84" s="110" t="e">
        <f>'1115-F02 Informe PM'!#REF!</f>
        <v>#REF!</v>
      </c>
      <c r="C84" s="111" t="e">
        <f>'1115-F02 Informe PM'!#REF!</f>
        <v>#REF!</v>
      </c>
      <c r="D84" s="110" t="e">
        <f>'1115-F02 Informe PM'!#REF!</f>
        <v>#REF!</v>
      </c>
      <c r="E84" s="110" t="e">
        <f>'1115-F02 Informe PM'!#REF!</f>
        <v>#REF!</v>
      </c>
      <c r="F84" s="110" t="e">
        <f>'1115-F02 Informe PM'!#REF!</f>
        <v>#REF!</v>
      </c>
      <c r="G84" s="80" t="e">
        <f>'1115-F02 Informe PM'!#REF!</f>
        <v>#REF!</v>
      </c>
      <c r="H84" s="80" t="e">
        <f>'1115-F02 Informe PM'!#REF!</f>
        <v>#REF!</v>
      </c>
      <c r="I84" s="80" t="e">
        <f>'1115-F02 Informe PM'!#REF!</f>
        <v>#REF!</v>
      </c>
      <c r="J84" s="81" t="e">
        <f>'1115-F02 Informe PM'!#REF!</f>
        <v>#REF!</v>
      </c>
      <c r="K84" s="196"/>
      <c r="L84" s="74" t="e">
        <f t="shared" si="36"/>
        <v>#REF!</v>
      </c>
      <c r="M84" s="74" t="e">
        <f t="shared" si="37"/>
        <v>#REF!</v>
      </c>
      <c r="N84" s="74" t="e">
        <f t="shared" si="38"/>
        <v>#REF!</v>
      </c>
      <c r="O84" s="806"/>
      <c r="P84" s="807"/>
      <c r="Q84" s="52" t="e">
        <f t="shared" si="32"/>
        <v>#REF!</v>
      </c>
      <c r="R84" s="29" t="e">
        <f t="shared" si="29"/>
        <v>#REF!</v>
      </c>
      <c r="S84" s="152" t="e">
        <f t="shared" si="27"/>
        <v>#REF!</v>
      </c>
      <c r="T84" s="159" t="e">
        <f t="shared" si="30"/>
        <v>#REF!</v>
      </c>
      <c r="U84" s="153" t="e">
        <f t="shared" si="33"/>
        <v>#REF!</v>
      </c>
      <c r="V84" s="160" t="e">
        <f t="shared" si="34"/>
        <v>#REF!</v>
      </c>
      <c r="W84" s="165" t="e">
        <f t="shared" si="31"/>
        <v>#REF!</v>
      </c>
      <c r="X84" s="163" t="e">
        <f t="shared" si="28"/>
        <v>#REF!</v>
      </c>
      <c r="Y84" s="164" t="e">
        <f t="shared" si="35"/>
        <v>#REF!</v>
      </c>
    </row>
    <row r="85" spans="1:25" s="27" customFormat="1" ht="13.5" thickBot="1" x14ac:dyDescent="0.25">
      <c r="A85" s="109" t="e">
        <f>'1115-F02 Informe PM'!#REF!</f>
        <v>#REF!</v>
      </c>
      <c r="B85" s="110" t="e">
        <f>'1115-F02 Informe PM'!#REF!</f>
        <v>#REF!</v>
      </c>
      <c r="C85" s="111" t="e">
        <f>'1115-F02 Informe PM'!#REF!</f>
        <v>#REF!</v>
      </c>
      <c r="D85" s="110" t="e">
        <f>'1115-F02 Informe PM'!#REF!</f>
        <v>#REF!</v>
      </c>
      <c r="E85" s="110" t="e">
        <f>'1115-F02 Informe PM'!#REF!</f>
        <v>#REF!</v>
      </c>
      <c r="F85" s="110" t="e">
        <f>'1115-F02 Informe PM'!#REF!</f>
        <v>#REF!</v>
      </c>
      <c r="G85" s="80" t="e">
        <f>'1115-F02 Informe PM'!#REF!</f>
        <v>#REF!</v>
      </c>
      <c r="H85" s="80" t="e">
        <f>'1115-F02 Informe PM'!#REF!</f>
        <v>#REF!</v>
      </c>
      <c r="I85" s="80" t="e">
        <f>'1115-F02 Informe PM'!#REF!</f>
        <v>#REF!</v>
      </c>
      <c r="J85" s="81" t="e">
        <f>'1115-F02 Informe PM'!#REF!</f>
        <v>#REF!</v>
      </c>
      <c r="K85" s="196"/>
      <c r="L85" s="74" t="e">
        <f t="shared" si="36"/>
        <v>#REF!</v>
      </c>
      <c r="M85" s="74" t="e">
        <f t="shared" si="37"/>
        <v>#REF!</v>
      </c>
      <c r="N85" s="74" t="e">
        <f t="shared" si="38"/>
        <v>#REF!</v>
      </c>
      <c r="O85" s="806"/>
      <c r="P85" s="807"/>
      <c r="Q85" s="52" t="e">
        <f t="shared" si="32"/>
        <v>#REF!</v>
      </c>
      <c r="R85" s="29" t="e">
        <f t="shared" si="29"/>
        <v>#REF!</v>
      </c>
      <c r="S85" s="152" t="e">
        <f t="shared" si="27"/>
        <v>#REF!</v>
      </c>
      <c r="T85" s="159" t="e">
        <f t="shared" si="30"/>
        <v>#REF!</v>
      </c>
      <c r="U85" s="153" t="e">
        <f t="shared" si="33"/>
        <v>#REF!</v>
      </c>
      <c r="V85" s="160" t="e">
        <f t="shared" si="34"/>
        <v>#REF!</v>
      </c>
      <c r="W85" s="165" t="e">
        <f t="shared" si="31"/>
        <v>#REF!</v>
      </c>
      <c r="X85" s="163" t="e">
        <f t="shared" si="28"/>
        <v>#REF!</v>
      </c>
      <c r="Y85" s="164" t="e">
        <f t="shared" si="35"/>
        <v>#REF!</v>
      </c>
    </row>
    <row r="86" spans="1:25" s="27" customFormat="1" ht="13.5" thickBot="1" x14ac:dyDescent="0.25">
      <c r="A86" s="109" t="e">
        <f>'1115-F02 Informe PM'!#REF!</f>
        <v>#REF!</v>
      </c>
      <c r="B86" s="110" t="e">
        <f>'1115-F02 Informe PM'!#REF!</f>
        <v>#REF!</v>
      </c>
      <c r="C86" s="111" t="e">
        <f>'1115-F02 Informe PM'!#REF!</f>
        <v>#REF!</v>
      </c>
      <c r="D86" s="110" t="e">
        <f>'1115-F02 Informe PM'!#REF!</f>
        <v>#REF!</v>
      </c>
      <c r="E86" s="110" t="e">
        <f>'1115-F02 Informe PM'!#REF!</f>
        <v>#REF!</v>
      </c>
      <c r="F86" s="110" t="e">
        <f>'1115-F02 Informe PM'!#REF!</f>
        <v>#REF!</v>
      </c>
      <c r="G86" s="80" t="e">
        <f>'1115-F02 Informe PM'!#REF!</f>
        <v>#REF!</v>
      </c>
      <c r="H86" s="80" t="e">
        <f>'1115-F02 Informe PM'!#REF!</f>
        <v>#REF!</v>
      </c>
      <c r="I86" s="80" t="e">
        <f>'1115-F02 Informe PM'!#REF!</f>
        <v>#REF!</v>
      </c>
      <c r="J86" s="81" t="e">
        <f>'1115-F02 Informe PM'!#REF!</f>
        <v>#REF!</v>
      </c>
      <c r="K86" s="196"/>
      <c r="L86" s="74" t="e">
        <f t="shared" si="36"/>
        <v>#REF!</v>
      </c>
      <c r="M86" s="74" t="e">
        <f t="shared" si="37"/>
        <v>#REF!</v>
      </c>
      <c r="N86" s="74" t="e">
        <f t="shared" si="38"/>
        <v>#REF!</v>
      </c>
      <c r="O86" s="806"/>
      <c r="P86" s="807"/>
      <c r="Q86" s="52" t="e">
        <f t="shared" si="32"/>
        <v>#REF!</v>
      </c>
      <c r="R86" s="29" t="e">
        <f t="shared" si="29"/>
        <v>#REF!</v>
      </c>
      <c r="S86" s="152" t="e">
        <f t="shared" si="27"/>
        <v>#REF!</v>
      </c>
      <c r="T86" s="159" t="e">
        <f t="shared" si="30"/>
        <v>#REF!</v>
      </c>
      <c r="U86" s="153" t="e">
        <f t="shared" si="33"/>
        <v>#REF!</v>
      </c>
      <c r="V86" s="160" t="e">
        <f t="shared" si="34"/>
        <v>#REF!</v>
      </c>
      <c r="W86" s="165" t="e">
        <f t="shared" si="31"/>
        <v>#REF!</v>
      </c>
      <c r="X86" s="163" t="e">
        <f t="shared" si="28"/>
        <v>#REF!</v>
      </c>
      <c r="Y86" s="164" t="e">
        <f t="shared" si="35"/>
        <v>#REF!</v>
      </c>
    </row>
    <row r="87" spans="1:25" s="27" customFormat="1" ht="13.5" thickBot="1" x14ac:dyDescent="0.25">
      <c r="A87" s="109" t="e">
        <f>'1115-F02 Informe PM'!#REF!</f>
        <v>#REF!</v>
      </c>
      <c r="B87" s="110" t="e">
        <f>'1115-F02 Informe PM'!#REF!</f>
        <v>#REF!</v>
      </c>
      <c r="C87" s="111" t="e">
        <f>'1115-F02 Informe PM'!#REF!</f>
        <v>#REF!</v>
      </c>
      <c r="D87" s="110" t="e">
        <f>'1115-F02 Informe PM'!#REF!</f>
        <v>#REF!</v>
      </c>
      <c r="E87" s="110" t="e">
        <f>'1115-F02 Informe PM'!#REF!</f>
        <v>#REF!</v>
      </c>
      <c r="F87" s="110" t="e">
        <f>'1115-F02 Informe PM'!#REF!</f>
        <v>#REF!</v>
      </c>
      <c r="G87" s="80" t="e">
        <f>'1115-F02 Informe PM'!#REF!</f>
        <v>#REF!</v>
      </c>
      <c r="H87" s="80" t="e">
        <f>'1115-F02 Informe PM'!#REF!</f>
        <v>#REF!</v>
      </c>
      <c r="I87" s="80" t="e">
        <f>'1115-F02 Informe PM'!#REF!</f>
        <v>#REF!</v>
      </c>
      <c r="J87" s="81" t="e">
        <f>'1115-F02 Informe PM'!#REF!</f>
        <v>#REF!</v>
      </c>
      <c r="K87" s="196"/>
      <c r="L87" s="74" t="e">
        <f t="shared" si="36"/>
        <v>#REF!</v>
      </c>
      <c r="M87" s="74" t="e">
        <f t="shared" si="37"/>
        <v>#REF!</v>
      </c>
      <c r="N87" s="74" t="e">
        <f t="shared" si="38"/>
        <v>#REF!</v>
      </c>
      <c r="O87" s="806"/>
      <c r="P87" s="807"/>
      <c r="Q87" s="52" t="e">
        <f t="shared" si="32"/>
        <v>#REF!</v>
      </c>
      <c r="R87" s="29" t="e">
        <f t="shared" si="29"/>
        <v>#REF!</v>
      </c>
      <c r="S87" s="152" t="e">
        <f t="shared" si="27"/>
        <v>#REF!</v>
      </c>
      <c r="T87" s="159" t="e">
        <f t="shared" si="30"/>
        <v>#REF!</v>
      </c>
      <c r="U87" s="153" t="e">
        <f t="shared" si="33"/>
        <v>#REF!</v>
      </c>
      <c r="V87" s="160" t="e">
        <f t="shared" si="34"/>
        <v>#REF!</v>
      </c>
      <c r="W87" s="165" t="e">
        <f t="shared" si="31"/>
        <v>#REF!</v>
      </c>
      <c r="X87" s="163" t="e">
        <f t="shared" si="28"/>
        <v>#REF!</v>
      </c>
      <c r="Y87" s="164" t="e">
        <f t="shared" si="35"/>
        <v>#REF!</v>
      </c>
    </row>
    <row r="88" spans="1:25" s="27" customFormat="1" ht="13.5" thickBot="1" x14ac:dyDescent="0.25">
      <c r="A88" s="109" t="e">
        <f>'1115-F02 Informe PM'!#REF!</f>
        <v>#REF!</v>
      </c>
      <c r="B88" s="110" t="e">
        <f>'1115-F02 Informe PM'!#REF!</f>
        <v>#REF!</v>
      </c>
      <c r="C88" s="111" t="e">
        <f>'1115-F02 Informe PM'!#REF!</f>
        <v>#REF!</v>
      </c>
      <c r="D88" s="110" t="e">
        <f>'1115-F02 Informe PM'!#REF!</f>
        <v>#REF!</v>
      </c>
      <c r="E88" s="110" t="e">
        <f>'1115-F02 Informe PM'!#REF!</f>
        <v>#REF!</v>
      </c>
      <c r="F88" s="110" t="e">
        <f>'1115-F02 Informe PM'!#REF!</f>
        <v>#REF!</v>
      </c>
      <c r="G88" s="80" t="e">
        <f>'1115-F02 Informe PM'!#REF!</f>
        <v>#REF!</v>
      </c>
      <c r="H88" s="80" t="e">
        <f>'1115-F02 Informe PM'!#REF!</f>
        <v>#REF!</v>
      </c>
      <c r="I88" s="80" t="e">
        <f>'1115-F02 Informe PM'!#REF!</f>
        <v>#REF!</v>
      </c>
      <c r="J88" s="81" t="e">
        <f>'1115-F02 Informe PM'!#REF!</f>
        <v>#REF!</v>
      </c>
      <c r="K88" s="196"/>
      <c r="L88" s="74" t="e">
        <f t="shared" si="36"/>
        <v>#REF!</v>
      </c>
      <c r="M88" s="74" t="e">
        <f t="shared" si="37"/>
        <v>#REF!</v>
      </c>
      <c r="N88" s="74" t="e">
        <f t="shared" si="38"/>
        <v>#REF!</v>
      </c>
      <c r="O88" s="806"/>
      <c r="P88" s="807"/>
      <c r="Q88" s="52" t="e">
        <f t="shared" si="32"/>
        <v>#REF!</v>
      </c>
      <c r="R88" s="29" t="e">
        <f t="shared" si="29"/>
        <v>#REF!</v>
      </c>
      <c r="S88" s="152" t="e">
        <f t="shared" si="27"/>
        <v>#REF!</v>
      </c>
      <c r="T88" s="159" t="e">
        <f t="shared" si="30"/>
        <v>#REF!</v>
      </c>
      <c r="U88" s="153" t="e">
        <f t="shared" si="33"/>
        <v>#REF!</v>
      </c>
      <c r="V88" s="160" t="e">
        <f t="shared" si="34"/>
        <v>#REF!</v>
      </c>
      <c r="W88" s="165" t="e">
        <f t="shared" si="31"/>
        <v>#REF!</v>
      </c>
      <c r="X88" s="163" t="e">
        <f t="shared" si="28"/>
        <v>#REF!</v>
      </c>
      <c r="Y88" s="164" t="e">
        <f t="shared" si="35"/>
        <v>#REF!</v>
      </c>
    </row>
    <row r="89" spans="1:25" s="27" customFormat="1" ht="13.5" thickBot="1" x14ac:dyDescent="0.25">
      <c r="A89" s="109" t="e">
        <f>'1115-F02 Informe PM'!#REF!</f>
        <v>#REF!</v>
      </c>
      <c r="B89" s="110" t="e">
        <f>'1115-F02 Informe PM'!#REF!</f>
        <v>#REF!</v>
      </c>
      <c r="C89" s="111" t="e">
        <f>'1115-F02 Informe PM'!#REF!</f>
        <v>#REF!</v>
      </c>
      <c r="D89" s="110" t="e">
        <f>'1115-F02 Informe PM'!#REF!</f>
        <v>#REF!</v>
      </c>
      <c r="E89" s="110" t="e">
        <f>'1115-F02 Informe PM'!#REF!</f>
        <v>#REF!</v>
      </c>
      <c r="F89" s="110" t="e">
        <f>'1115-F02 Informe PM'!#REF!</f>
        <v>#REF!</v>
      </c>
      <c r="G89" s="80" t="e">
        <f>'1115-F02 Informe PM'!#REF!</f>
        <v>#REF!</v>
      </c>
      <c r="H89" s="80" t="e">
        <f>'1115-F02 Informe PM'!#REF!</f>
        <v>#REF!</v>
      </c>
      <c r="I89" s="80" t="e">
        <f>'1115-F02 Informe PM'!#REF!</f>
        <v>#REF!</v>
      </c>
      <c r="J89" s="81" t="e">
        <f>'1115-F02 Informe PM'!#REF!</f>
        <v>#REF!</v>
      </c>
      <c r="K89" s="196"/>
      <c r="L89" s="74" t="e">
        <f t="shared" si="36"/>
        <v>#REF!</v>
      </c>
      <c r="M89" s="74" t="e">
        <f t="shared" si="37"/>
        <v>#REF!</v>
      </c>
      <c r="N89" s="74" t="e">
        <f t="shared" si="38"/>
        <v>#REF!</v>
      </c>
      <c r="O89" s="806"/>
      <c r="P89" s="807"/>
      <c r="Q89" s="52" t="e">
        <f>K89/I89</f>
        <v>#REF!</v>
      </c>
      <c r="R89" s="29" t="e">
        <f t="shared" si="29"/>
        <v>#REF!</v>
      </c>
      <c r="S89" s="152" t="e">
        <f t="shared" si="27"/>
        <v>#REF!</v>
      </c>
      <c r="T89" s="159" t="e">
        <f t="shared" si="30"/>
        <v>#REF!</v>
      </c>
      <c r="U89" s="153" t="e">
        <f t="shared" si="33"/>
        <v>#REF!</v>
      </c>
      <c r="V89" s="160" t="e">
        <f t="shared" si="34"/>
        <v>#REF!</v>
      </c>
      <c r="W89" s="165" t="e">
        <f t="shared" si="31"/>
        <v>#REF!</v>
      </c>
      <c r="X89" s="163" t="e">
        <f t="shared" si="28"/>
        <v>#REF!</v>
      </c>
      <c r="Y89" s="164" t="e">
        <f t="shared" si="35"/>
        <v>#REF!</v>
      </c>
    </row>
    <row r="90" spans="1:25" s="27" customFormat="1" ht="13.5" thickBot="1" x14ac:dyDescent="0.25">
      <c r="A90" s="82" t="e">
        <f>'1115-F02 Informe PM'!#REF!</f>
        <v>#REF!</v>
      </c>
      <c r="B90" s="83" t="e">
        <f>'1115-F02 Informe PM'!#REF!</f>
        <v>#REF!</v>
      </c>
      <c r="C90" s="84" t="e">
        <f>'1115-F02 Informe PM'!#REF!</f>
        <v>#REF!</v>
      </c>
      <c r="D90" s="83" t="e">
        <f>'1115-F02 Informe PM'!#REF!</f>
        <v>#REF!</v>
      </c>
      <c r="E90" s="83" t="e">
        <f>'1115-F02 Informe PM'!#REF!</f>
        <v>#REF!</v>
      </c>
      <c r="F90" s="83" t="e">
        <f>'1115-F02 Informe PM'!#REF!</f>
        <v>#REF!</v>
      </c>
      <c r="G90" s="85" t="e">
        <f>'1115-F02 Informe PM'!#REF!</f>
        <v>#REF!</v>
      </c>
      <c r="H90" s="85" t="e">
        <f>'1115-F02 Informe PM'!#REF!</f>
        <v>#REF!</v>
      </c>
      <c r="I90" s="85" t="e">
        <f>'1115-F02 Informe PM'!#REF!</f>
        <v>#REF!</v>
      </c>
      <c r="J90" s="86" t="e">
        <f>'1115-F02 Informe PM'!#REF!</f>
        <v>#REF!</v>
      </c>
      <c r="K90" s="202"/>
      <c r="L90" s="78" t="e">
        <f>IF(AND(K90&lt;I90, K90&gt;0),"Si","No")</f>
        <v>#REF!</v>
      </c>
      <c r="M90" s="78" t="e">
        <f>IF(AND($D$11&gt;J90,K90&lt;I90),"Vencida","No")</f>
        <v>#REF!</v>
      </c>
      <c r="N90" s="176" t="e">
        <f>IF(K90=I90,"Finalizada","No")</f>
        <v>#REF!</v>
      </c>
      <c r="O90" s="817"/>
      <c r="P90" s="818"/>
      <c r="Q90" s="52" t="e">
        <f t="shared" si="32"/>
        <v>#REF!</v>
      </c>
      <c r="R90" s="29" t="e">
        <f t="shared" si="29"/>
        <v>#REF!</v>
      </c>
      <c r="S90" s="152" t="e">
        <f t="shared" si="27"/>
        <v>#REF!</v>
      </c>
      <c r="T90" s="159" t="e">
        <f t="shared" si="30"/>
        <v>#REF!</v>
      </c>
      <c r="U90" s="153" t="e">
        <f t="shared" si="33"/>
        <v>#REF!</v>
      </c>
      <c r="V90" s="160" t="e">
        <f t="shared" si="34"/>
        <v>#REF!</v>
      </c>
      <c r="W90" s="165" t="e">
        <f t="shared" si="31"/>
        <v>#REF!</v>
      </c>
      <c r="X90" s="163" t="e">
        <f t="shared" si="28"/>
        <v>#REF!</v>
      </c>
      <c r="Y90" s="164" t="e">
        <f t="shared" si="35"/>
        <v>#REF!</v>
      </c>
    </row>
    <row r="91" spans="1:25" ht="61.5" customHeight="1" thickBot="1" x14ac:dyDescent="0.25">
      <c r="O91" s="37"/>
      <c r="P91" s="38"/>
      <c r="Q91" s="180" t="e">
        <f>SUM(Q15:Q90)/S8</f>
        <v>#REF!</v>
      </c>
      <c r="R91" s="172" t="e">
        <f>SUM(R15:R90)</f>
        <v>#REF!</v>
      </c>
      <c r="S91" s="177" t="e">
        <f>SUM(S15:S90)</f>
        <v>#REF!</v>
      </c>
      <c r="T91" s="173" t="e">
        <f>IF($R$91=$S$10, "PLAN CON ACCIONES FINALIZADAS", "PLAN CON ACCIONES PENDIENTES")</f>
        <v>#REF!</v>
      </c>
      <c r="U91" s="174" t="e">
        <f>SUM(U15:U90)/S10</f>
        <v>#REF!</v>
      </c>
      <c r="V91" s="161" t="e">
        <f>SUM(V15:V90)</f>
        <v>#REF!</v>
      </c>
      <c r="W91" s="178" t="e">
        <f>SUM(W15:W90)</f>
        <v>#REF!</v>
      </c>
      <c r="X91" s="175" t="e">
        <f>IF($V$91=$S$11, "PLAN CON HALLAZGOS SUBSANADOS", "PLAN CON HALLAZGOS PENDIENTES DE SUBSANAR")</f>
        <v>#REF!</v>
      </c>
      <c r="Y91" s="179" t="e">
        <f>SUM(Y15:Y90)/S11</f>
        <v>#REF!</v>
      </c>
    </row>
    <row r="92" spans="1:25" x14ac:dyDescent="0.2">
      <c r="K92" s="31"/>
      <c r="P92" s="32"/>
      <c r="Q92" s="34"/>
      <c r="R92" s="8"/>
      <c r="S92" s="33"/>
    </row>
    <row r="93" spans="1:25" ht="13.5" thickBot="1" x14ac:dyDescent="0.25">
      <c r="G93" s="40" t="s">
        <v>48</v>
      </c>
      <c r="H93" s="40">
        <f>L10</f>
        <v>44</v>
      </c>
      <c r="I93" s="40"/>
      <c r="J93" s="45">
        <f>+J94+J95</f>
        <v>1</v>
      </c>
      <c r="P93" s="32"/>
      <c r="Q93" s="34"/>
      <c r="R93" s="8"/>
      <c r="S93" s="33"/>
    </row>
    <row r="94" spans="1:25" ht="16.5" x14ac:dyDescent="0.2">
      <c r="B94" s="90" t="s">
        <v>14</v>
      </c>
      <c r="C94" s="91"/>
      <c r="D94" s="92"/>
      <c r="G94" s="42" t="s">
        <v>56</v>
      </c>
      <c r="H94" s="41">
        <f>+L11</f>
        <v>0</v>
      </c>
      <c r="I94" s="41"/>
      <c r="J94" s="43">
        <f>+H94/H93</f>
        <v>0</v>
      </c>
      <c r="P94" s="32"/>
      <c r="Q94" s="34"/>
      <c r="R94" s="8"/>
      <c r="S94" s="33"/>
    </row>
    <row r="95" spans="1:25" x14ac:dyDescent="0.2">
      <c r="B95" s="93" t="s">
        <v>23</v>
      </c>
      <c r="C95" s="87"/>
      <c r="D95" s="94"/>
      <c r="G95" s="42" t="s">
        <v>57</v>
      </c>
      <c r="H95" s="41">
        <f>+H93-H94</f>
        <v>44</v>
      </c>
      <c r="I95" s="41"/>
      <c r="J95" s="43">
        <f>+H95/H93</f>
        <v>1</v>
      </c>
      <c r="P95" s="32"/>
    </row>
    <row r="96" spans="1:25" x14ac:dyDescent="0.2">
      <c r="A96" s="88"/>
      <c r="B96" s="93" t="s">
        <v>70</v>
      </c>
      <c r="C96" s="87"/>
      <c r="D96" s="95"/>
      <c r="K96" s="31"/>
      <c r="P96" s="32"/>
    </row>
    <row r="97" spans="2:16" x14ac:dyDescent="0.2">
      <c r="B97" s="93" t="s">
        <v>72</v>
      </c>
      <c r="C97" s="87"/>
      <c r="D97" s="96"/>
      <c r="K97" s="31"/>
      <c r="P97" s="32"/>
    </row>
    <row r="98" spans="2:16" x14ac:dyDescent="0.2">
      <c r="B98" s="93" t="s">
        <v>71</v>
      </c>
      <c r="C98" s="87"/>
      <c r="D98" s="97"/>
      <c r="K98" s="31"/>
      <c r="P98" s="32"/>
    </row>
    <row r="99" spans="2:16" x14ac:dyDescent="0.2">
      <c r="B99" s="93" t="s">
        <v>73</v>
      </c>
      <c r="C99" s="87"/>
      <c r="D99" s="100"/>
      <c r="K99" s="31"/>
      <c r="P99" s="32"/>
    </row>
    <row r="100" spans="2:16" ht="13.5" thickBot="1" x14ac:dyDescent="0.25">
      <c r="B100" s="98" t="s">
        <v>74</v>
      </c>
      <c r="C100" s="99"/>
      <c r="D100" s="101"/>
      <c r="K100" s="31"/>
      <c r="P100" s="32"/>
    </row>
    <row r="101" spans="2:16" x14ac:dyDescent="0.2">
      <c r="D101" s="89"/>
      <c r="K101" s="31"/>
      <c r="P101" s="32"/>
    </row>
    <row r="102" spans="2:16" x14ac:dyDescent="0.2">
      <c r="K102" s="31"/>
      <c r="P102" s="32"/>
    </row>
    <row r="103" spans="2:16" x14ac:dyDescent="0.2">
      <c r="K103" s="31"/>
      <c r="P103" s="32"/>
    </row>
    <row r="104" spans="2:16" x14ac:dyDescent="0.2">
      <c r="K104" s="31"/>
      <c r="P104" s="32"/>
    </row>
    <row r="105" spans="2:16" x14ac:dyDescent="0.2">
      <c r="K105" s="31"/>
      <c r="P105" s="32"/>
    </row>
    <row r="106" spans="2:16" x14ac:dyDescent="0.2">
      <c r="K106" s="31"/>
      <c r="P106" s="32"/>
    </row>
    <row r="107" spans="2:16" x14ac:dyDescent="0.2">
      <c r="K107" s="31"/>
      <c r="P107" s="32"/>
    </row>
    <row r="108" spans="2:16" x14ac:dyDescent="0.2">
      <c r="K108" s="31"/>
      <c r="P108" s="32"/>
    </row>
    <row r="109" spans="2:16" x14ac:dyDescent="0.2">
      <c r="P109" s="32"/>
    </row>
    <row r="110" spans="2:16" x14ac:dyDescent="0.2">
      <c r="P110" s="32"/>
    </row>
    <row r="111" spans="2:16" x14ac:dyDescent="0.2">
      <c r="P111" s="32"/>
    </row>
    <row r="112" spans="2:16" x14ac:dyDescent="0.2">
      <c r="P112" s="32"/>
    </row>
    <row r="113" spans="16:16" x14ac:dyDescent="0.2">
      <c r="P113" s="32"/>
    </row>
    <row r="114" spans="16:16" x14ac:dyDescent="0.2">
      <c r="P114" s="32"/>
    </row>
    <row r="115" spans="16:16" x14ac:dyDescent="0.2">
      <c r="P115" s="32"/>
    </row>
    <row r="116" spans="16:16" x14ac:dyDescent="0.2">
      <c r="P116" s="32"/>
    </row>
    <row r="117" spans="16:16" x14ac:dyDescent="0.2">
      <c r="P117" s="32"/>
    </row>
    <row r="118" spans="16:16" x14ac:dyDescent="0.2">
      <c r="P118" s="32"/>
    </row>
    <row r="119" spans="16:16" x14ac:dyDescent="0.2">
      <c r="P119" s="32"/>
    </row>
    <row r="120" spans="16:16" x14ac:dyDescent="0.2">
      <c r="P120" s="32"/>
    </row>
    <row r="121" spans="16:16" x14ac:dyDescent="0.2">
      <c r="P121" s="32"/>
    </row>
    <row r="122" spans="16:16" x14ac:dyDescent="0.2">
      <c r="P122" s="32"/>
    </row>
    <row r="123" spans="16:16" x14ac:dyDescent="0.2">
      <c r="P123" s="32"/>
    </row>
    <row r="124" spans="16:16" x14ac:dyDescent="0.2">
      <c r="P124" s="32"/>
    </row>
    <row r="125" spans="16:16" x14ac:dyDescent="0.2">
      <c r="P125" s="32"/>
    </row>
    <row r="126" spans="16:16" x14ac:dyDescent="0.2">
      <c r="P126" s="32"/>
    </row>
    <row r="127" spans="16:16" x14ac:dyDescent="0.2">
      <c r="P127" s="32"/>
    </row>
    <row r="128" spans="16:16" x14ac:dyDescent="0.2">
      <c r="P128" s="32"/>
    </row>
    <row r="129" spans="16:16" x14ac:dyDescent="0.2">
      <c r="P129" s="32"/>
    </row>
    <row r="130" spans="16:16" x14ac:dyDescent="0.2">
      <c r="P130" s="32"/>
    </row>
    <row r="131" spans="16:16" x14ac:dyDescent="0.2">
      <c r="P131" s="32"/>
    </row>
    <row r="132" spans="16:16" x14ac:dyDescent="0.2">
      <c r="P132" s="32"/>
    </row>
    <row r="133" spans="16:16" x14ac:dyDescent="0.2">
      <c r="P133" s="32"/>
    </row>
    <row r="134" spans="16:16" x14ac:dyDescent="0.2">
      <c r="P134" s="32"/>
    </row>
    <row r="135" spans="16:16" x14ac:dyDescent="0.2">
      <c r="P135" s="32"/>
    </row>
    <row r="136" spans="16:16" x14ac:dyDescent="0.2">
      <c r="P136" s="32"/>
    </row>
    <row r="137" spans="16:16" x14ac:dyDescent="0.2">
      <c r="P137" s="32"/>
    </row>
    <row r="138" spans="16:16" x14ac:dyDescent="0.2">
      <c r="P138" s="32"/>
    </row>
    <row r="139" spans="16:16" x14ac:dyDescent="0.2">
      <c r="P139" s="32"/>
    </row>
    <row r="140" spans="16:16" x14ac:dyDescent="0.2">
      <c r="P140" s="32"/>
    </row>
    <row r="141" spans="16:16" x14ac:dyDescent="0.2">
      <c r="P141" s="32"/>
    </row>
    <row r="142" spans="16:16" x14ac:dyDescent="0.2">
      <c r="P142" s="32"/>
    </row>
    <row r="143" spans="16:16" x14ac:dyDescent="0.2">
      <c r="P143" s="32"/>
    </row>
    <row r="144" spans="16:16" x14ac:dyDescent="0.2">
      <c r="P144" s="32"/>
    </row>
    <row r="145" spans="16:16" x14ac:dyDescent="0.2">
      <c r="P145" s="32"/>
    </row>
    <row r="146" spans="16:16" x14ac:dyDescent="0.2">
      <c r="P146" s="32"/>
    </row>
    <row r="147" spans="16:16" x14ac:dyDescent="0.2">
      <c r="P147" s="32"/>
    </row>
    <row r="148" spans="16:16" x14ac:dyDescent="0.2">
      <c r="P148" s="32"/>
    </row>
    <row r="149" spans="16:16" x14ac:dyDescent="0.2">
      <c r="P149" s="32"/>
    </row>
    <row r="150" spans="16:16" x14ac:dyDescent="0.2">
      <c r="P150" s="32"/>
    </row>
    <row r="151" spans="16:16" x14ac:dyDescent="0.2">
      <c r="P151" s="32"/>
    </row>
    <row r="152" spans="16:16" x14ac:dyDescent="0.2">
      <c r="P152" s="32"/>
    </row>
    <row r="153" spans="16:16" x14ac:dyDescent="0.2">
      <c r="P153" s="32"/>
    </row>
    <row r="154" spans="16:16" x14ac:dyDescent="0.2">
      <c r="P154" s="32"/>
    </row>
    <row r="155" spans="16:16" x14ac:dyDescent="0.2">
      <c r="P155" s="32"/>
    </row>
    <row r="156" spans="16:16" x14ac:dyDescent="0.2">
      <c r="P156" s="32"/>
    </row>
    <row r="157" spans="16:16" x14ac:dyDescent="0.2">
      <c r="P157" s="32"/>
    </row>
    <row r="158" spans="16:16" x14ac:dyDescent="0.2">
      <c r="P158" s="32"/>
    </row>
    <row r="159" spans="16:16" x14ac:dyDescent="0.2">
      <c r="P159" s="32"/>
    </row>
    <row r="160" spans="16:16" x14ac:dyDescent="0.2">
      <c r="P160" s="32"/>
    </row>
    <row r="161" spans="16:16" x14ac:dyDescent="0.2">
      <c r="P161" s="32"/>
    </row>
    <row r="162" spans="16:16" x14ac:dyDescent="0.2">
      <c r="P162" s="32"/>
    </row>
    <row r="163" spans="16:16" x14ac:dyDescent="0.2">
      <c r="P163" s="32"/>
    </row>
    <row r="164" spans="16:16" x14ac:dyDescent="0.2">
      <c r="P164" s="32"/>
    </row>
    <row r="165" spans="16:16" x14ac:dyDescent="0.2">
      <c r="P165" s="32"/>
    </row>
    <row r="166" spans="16:16" x14ac:dyDescent="0.2">
      <c r="P166" s="32"/>
    </row>
    <row r="167" spans="16:16" x14ac:dyDescent="0.2">
      <c r="P167" s="32"/>
    </row>
    <row r="168" spans="16:16" x14ac:dyDescent="0.2">
      <c r="P168" s="32"/>
    </row>
    <row r="169" spans="16:16" x14ac:dyDescent="0.2">
      <c r="P169" s="32"/>
    </row>
    <row r="170" spans="16:16" x14ac:dyDescent="0.2">
      <c r="P170" s="32"/>
    </row>
    <row r="171" spans="16:16" x14ac:dyDescent="0.2">
      <c r="P171" s="32"/>
    </row>
    <row r="172" spans="16:16" x14ac:dyDescent="0.2">
      <c r="P172" s="32"/>
    </row>
    <row r="173" spans="16:16" x14ac:dyDescent="0.2">
      <c r="P173" s="32"/>
    </row>
    <row r="174" spans="16:16" x14ac:dyDescent="0.2">
      <c r="P174" s="32"/>
    </row>
    <row r="175" spans="16:16" x14ac:dyDescent="0.2">
      <c r="P175" s="32"/>
    </row>
    <row r="176" spans="16:16" x14ac:dyDescent="0.2">
      <c r="P176" s="32"/>
    </row>
    <row r="177" spans="16:16" x14ac:dyDescent="0.2">
      <c r="P177" s="32"/>
    </row>
    <row r="178" spans="16:16" x14ac:dyDescent="0.2">
      <c r="P178" s="32"/>
    </row>
    <row r="179" spans="16:16" x14ac:dyDescent="0.2">
      <c r="P179" s="32"/>
    </row>
    <row r="180" spans="16:16" x14ac:dyDescent="0.2">
      <c r="P180" s="32"/>
    </row>
    <row r="181" spans="16:16" x14ac:dyDescent="0.2">
      <c r="P181" s="32"/>
    </row>
    <row r="182" spans="16:16" x14ac:dyDescent="0.2">
      <c r="P182" s="32"/>
    </row>
    <row r="183" spans="16:16" x14ac:dyDescent="0.2">
      <c r="P183" s="32"/>
    </row>
    <row r="184" spans="16:16" x14ac:dyDescent="0.2">
      <c r="P184" s="32"/>
    </row>
    <row r="185" spans="16:16" x14ac:dyDescent="0.2">
      <c r="P185" s="32"/>
    </row>
    <row r="186" spans="16:16" x14ac:dyDescent="0.2">
      <c r="P186" s="32"/>
    </row>
    <row r="187" spans="16:16" x14ac:dyDescent="0.2">
      <c r="P187" s="32"/>
    </row>
    <row r="188" spans="16:16" x14ac:dyDescent="0.2">
      <c r="P188" s="32"/>
    </row>
    <row r="189" spans="16:16" x14ac:dyDescent="0.2">
      <c r="P189" s="32"/>
    </row>
    <row r="190" spans="16:16" x14ac:dyDescent="0.2">
      <c r="P190" s="32"/>
    </row>
    <row r="191" spans="16:16" x14ac:dyDescent="0.2">
      <c r="P191" s="32"/>
    </row>
    <row r="192" spans="16:16" x14ac:dyDescent="0.2">
      <c r="P192" s="32"/>
    </row>
    <row r="193" spans="16:16" x14ac:dyDescent="0.2">
      <c r="P193" s="32"/>
    </row>
    <row r="194" spans="16:16" x14ac:dyDescent="0.2">
      <c r="P194" s="32"/>
    </row>
    <row r="195" spans="16:16" x14ac:dyDescent="0.2">
      <c r="P195" s="32"/>
    </row>
    <row r="196" spans="16:16" x14ac:dyDescent="0.2">
      <c r="P196" s="32"/>
    </row>
    <row r="197" spans="16:16" x14ac:dyDescent="0.2">
      <c r="P197" s="32"/>
    </row>
    <row r="198" spans="16:16" x14ac:dyDescent="0.2">
      <c r="P198" s="32"/>
    </row>
    <row r="199" spans="16:16" x14ac:dyDescent="0.2">
      <c r="P199" s="32"/>
    </row>
    <row r="200" spans="16:16" x14ac:dyDescent="0.2">
      <c r="P200" s="32"/>
    </row>
    <row r="201" spans="16:16" x14ac:dyDescent="0.2">
      <c r="P201" s="32"/>
    </row>
    <row r="202" spans="16:16" x14ac:dyDescent="0.2">
      <c r="P202" s="32"/>
    </row>
    <row r="203" spans="16:16" x14ac:dyDescent="0.2">
      <c r="P203" s="32"/>
    </row>
    <row r="204" spans="16:16" x14ac:dyDescent="0.2">
      <c r="P204" s="32"/>
    </row>
    <row r="205" spans="16:16" x14ac:dyDescent="0.2">
      <c r="P205" s="32"/>
    </row>
    <row r="206" spans="16:16" x14ac:dyDescent="0.2">
      <c r="P206" s="32"/>
    </row>
    <row r="207" spans="16:16" x14ac:dyDescent="0.2">
      <c r="P207" s="32"/>
    </row>
    <row r="208" spans="16:16" x14ac:dyDescent="0.2">
      <c r="P208" s="32"/>
    </row>
    <row r="209" spans="16:16" x14ac:dyDescent="0.2">
      <c r="P209" s="32"/>
    </row>
    <row r="210" spans="16:16" x14ac:dyDescent="0.2">
      <c r="P210" s="32"/>
    </row>
    <row r="211" spans="16:16" x14ac:dyDescent="0.2">
      <c r="P211" s="32"/>
    </row>
    <row r="212" spans="16:16" x14ac:dyDescent="0.2">
      <c r="P212" s="32"/>
    </row>
    <row r="213" spans="16:16" x14ac:dyDescent="0.2">
      <c r="P213" s="32"/>
    </row>
    <row r="214" spans="16:16" x14ac:dyDescent="0.2">
      <c r="P214" s="32"/>
    </row>
  </sheetData>
  <sheetProtection password="CB37" sheet="1"/>
  <autoFilter ref="A14:X91" xr:uid="{00000000-0009-0000-0000-000001000000}">
    <filterColumn colId="14" showButton="0"/>
  </autoFilter>
  <mergeCells count="285">
    <mergeCell ref="U74:U76"/>
    <mergeCell ref="V74:V76"/>
    <mergeCell ref="Y74:Y76"/>
    <mergeCell ref="Y58:Y62"/>
    <mergeCell ref="U63:U65"/>
    <mergeCell ref="V63:V65"/>
    <mergeCell ref="U67:U68"/>
    <mergeCell ref="V67:V68"/>
    <mergeCell ref="U69:U73"/>
    <mergeCell ref="V69:V73"/>
    <mergeCell ref="Y63:Y73"/>
    <mergeCell ref="Y43:Y45"/>
    <mergeCell ref="W34:W37"/>
    <mergeCell ref="X34:X37"/>
    <mergeCell ref="Y46:Y50"/>
    <mergeCell ref="U52:U54"/>
    <mergeCell ref="V52:V54"/>
    <mergeCell ref="Y52:Y54"/>
    <mergeCell ref="U55:U56"/>
    <mergeCell ref="V55:V56"/>
    <mergeCell ref="Y55:Y56"/>
    <mergeCell ref="X52:X54"/>
    <mergeCell ref="X55:X56"/>
    <mergeCell ref="Y24:Y29"/>
    <mergeCell ref="U32:U33"/>
    <mergeCell ref="V32:V33"/>
    <mergeCell ref="Y30:Y33"/>
    <mergeCell ref="W30:W33"/>
    <mergeCell ref="X30:X33"/>
    <mergeCell ref="Y34:Y37"/>
    <mergeCell ref="U38:U40"/>
    <mergeCell ref="V38:V40"/>
    <mergeCell ref="Y38:Y41"/>
    <mergeCell ref="S74:S76"/>
    <mergeCell ref="T74:T76"/>
    <mergeCell ref="W74:W76"/>
    <mergeCell ref="X74:X76"/>
    <mergeCell ref="S13:V13"/>
    <mergeCell ref="W13:Y13"/>
    <mergeCell ref="U21:U23"/>
    <mergeCell ref="V21:V23"/>
    <mergeCell ref="Y21:Y23"/>
    <mergeCell ref="S67:S68"/>
    <mergeCell ref="T67:T68"/>
    <mergeCell ref="S69:S73"/>
    <mergeCell ref="T69:T73"/>
    <mergeCell ref="W63:W73"/>
    <mergeCell ref="X63:X73"/>
    <mergeCell ref="S58:S61"/>
    <mergeCell ref="T58:T61"/>
    <mergeCell ref="W58:W62"/>
    <mergeCell ref="X58:X62"/>
    <mergeCell ref="S63:S65"/>
    <mergeCell ref="T63:T65"/>
    <mergeCell ref="U58:U61"/>
    <mergeCell ref="V58:V61"/>
    <mergeCell ref="S52:S54"/>
    <mergeCell ref="T52:T54"/>
    <mergeCell ref="W52:W54"/>
    <mergeCell ref="S55:S56"/>
    <mergeCell ref="T55:T56"/>
    <mergeCell ref="W55:W56"/>
    <mergeCell ref="S43:S45"/>
    <mergeCell ref="T43:T45"/>
    <mergeCell ref="W43:W45"/>
    <mergeCell ref="X43:X45"/>
    <mergeCell ref="S46:S49"/>
    <mergeCell ref="T46:T49"/>
    <mergeCell ref="W46:W50"/>
    <mergeCell ref="X46:X50"/>
    <mergeCell ref="U46:U49"/>
    <mergeCell ref="V46:V49"/>
    <mergeCell ref="U43:U45"/>
    <mergeCell ref="V43:V45"/>
    <mergeCell ref="S38:S40"/>
    <mergeCell ref="T38:T40"/>
    <mergeCell ref="W38:W41"/>
    <mergeCell ref="X38:X41"/>
    <mergeCell ref="U34:U37"/>
    <mergeCell ref="V34:V37"/>
    <mergeCell ref="S34:S37"/>
    <mergeCell ref="T34:T37"/>
    <mergeCell ref="W21:W23"/>
    <mergeCell ref="X21:X23"/>
    <mergeCell ref="W24:W29"/>
    <mergeCell ref="X24:X29"/>
    <mergeCell ref="S32:S33"/>
    <mergeCell ref="T32:T33"/>
    <mergeCell ref="S21:S23"/>
    <mergeCell ref="T21:T23"/>
    <mergeCell ref="S24:S25"/>
    <mergeCell ref="T24:T25"/>
    <mergeCell ref="S26:S29"/>
    <mergeCell ref="T26:T29"/>
    <mergeCell ref="U24:U25"/>
    <mergeCell ref="U26:U29"/>
    <mergeCell ref="V26:V29"/>
    <mergeCell ref="V24:V25"/>
    <mergeCell ref="F74:F76"/>
    <mergeCell ref="E74:E76"/>
    <mergeCell ref="D74:D76"/>
    <mergeCell ref="C74:C76"/>
    <mergeCell ref="B74:B76"/>
    <mergeCell ref="A74:A76"/>
    <mergeCell ref="F69:F73"/>
    <mergeCell ref="E69:E70"/>
    <mergeCell ref="D63:D73"/>
    <mergeCell ref="C69:C73"/>
    <mergeCell ref="B63:B73"/>
    <mergeCell ref="A63:A73"/>
    <mergeCell ref="F63:F65"/>
    <mergeCell ref="F67:F68"/>
    <mergeCell ref="E63:E68"/>
    <mergeCell ref="C63:C68"/>
    <mergeCell ref="C55:C56"/>
    <mergeCell ref="B55:B56"/>
    <mergeCell ref="A55:A56"/>
    <mergeCell ref="F58:F61"/>
    <mergeCell ref="E58:E61"/>
    <mergeCell ref="D58:D62"/>
    <mergeCell ref="C58:C62"/>
    <mergeCell ref="B58:B62"/>
    <mergeCell ref="A58:A62"/>
    <mergeCell ref="F55:F56"/>
    <mergeCell ref="D55:D56"/>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76:P76"/>
    <mergeCell ref="O77:P77"/>
    <mergeCell ref="O78:P78"/>
    <mergeCell ref="O67:P67"/>
    <mergeCell ref="O68:P68"/>
    <mergeCell ref="O69:P69"/>
    <mergeCell ref="O70:P70"/>
    <mergeCell ref="O71:P71"/>
    <mergeCell ref="O72:P72"/>
    <mergeCell ref="O86:P86"/>
    <mergeCell ref="O87:P87"/>
    <mergeCell ref="O88:P88"/>
    <mergeCell ref="O89:P89"/>
    <mergeCell ref="O90:P90"/>
    <mergeCell ref="O79:P79"/>
    <mergeCell ref="O80:P80"/>
    <mergeCell ref="O81:P81"/>
    <mergeCell ref="O82:P82"/>
    <mergeCell ref="O83:P83"/>
    <mergeCell ref="A21:A23"/>
    <mergeCell ref="B21:B23"/>
    <mergeCell ref="C21:C23"/>
    <mergeCell ref="D21:D23"/>
    <mergeCell ref="E21:E23"/>
    <mergeCell ref="O85:P85"/>
    <mergeCell ref="O84:P84"/>
    <mergeCell ref="O73:P73"/>
    <mergeCell ref="O74:P74"/>
    <mergeCell ref="O75:P75"/>
    <mergeCell ref="F21:F23"/>
    <mergeCell ref="F24:F25"/>
    <mergeCell ref="E24:E25"/>
    <mergeCell ref="F26:F29"/>
    <mergeCell ref="E26:E29"/>
    <mergeCell ref="D24:D29"/>
    <mergeCell ref="C24:C29"/>
    <mergeCell ref="B24:B29"/>
    <mergeCell ref="A24:A29"/>
    <mergeCell ref="F32:F33"/>
    <mergeCell ref="E31:E33"/>
    <mergeCell ref="D30:D33"/>
    <mergeCell ref="C30:C33"/>
    <mergeCell ref="B30:B33"/>
    <mergeCell ref="B46:B50"/>
    <mergeCell ref="F52:F54"/>
    <mergeCell ref="E52:E54"/>
    <mergeCell ref="D52:D54"/>
    <mergeCell ref="C52:C54"/>
    <mergeCell ref="A46:A50"/>
    <mergeCell ref="B52:B54"/>
    <mergeCell ref="A52:A54"/>
    <mergeCell ref="A30:A33"/>
    <mergeCell ref="F34:F37"/>
    <mergeCell ref="E34:E37"/>
    <mergeCell ref="D34:D37"/>
    <mergeCell ref="C34:C37"/>
    <mergeCell ref="B34:B37"/>
    <mergeCell ref="A34:A37"/>
    <mergeCell ref="F38:F40"/>
    <mergeCell ref="E38:E41"/>
    <mergeCell ref="D38:D41"/>
    <mergeCell ref="C38:C41"/>
    <mergeCell ref="B38:B41"/>
    <mergeCell ref="A38:A41"/>
    <mergeCell ref="A11:C11"/>
    <mergeCell ref="D11:F11"/>
    <mergeCell ref="G11:K11"/>
    <mergeCell ref="N11:O11"/>
    <mergeCell ref="Q13:R13"/>
    <mergeCell ref="O15:P15"/>
    <mergeCell ref="F46:F49"/>
    <mergeCell ref="E46:E50"/>
    <mergeCell ref="D46:D50"/>
    <mergeCell ref="A12:P12"/>
    <mergeCell ref="E13:E14"/>
    <mergeCell ref="F13:F14"/>
    <mergeCell ref="G13:K13"/>
    <mergeCell ref="L13:N13"/>
    <mergeCell ref="O13:P14"/>
    <mergeCell ref="A13:B13"/>
    <mergeCell ref="C13:D13"/>
    <mergeCell ref="F43:F45"/>
    <mergeCell ref="E43:E45"/>
    <mergeCell ref="D43:D45"/>
    <mergeCell ref="C43:C45"/>
    <mergeCell ref="B43:B45"/>
    <mergeCell ref="A43:A45"/>
    <mergeCell ref="C46:C50"/>
    <mergeCell ref="A9:C9"/>
    <mergeCell ref="D9:F9"/>
    <mergeCell ref="G9:K9"/>
    <mergeCell ref="N9:O9"/>
    <mergeCell ref="A10:C10"/>
    <mergeCell ref="D10:F10"/>
    <mergeCell ref="G10:K10"/>
    <mergeCell ref="L10:M10"/>
    <mergeCell ref="N10:O10"/>
    <mergeCell ref="D1:K1"/>
    <mergeCell ref="D3:K3"/>
    <mergeCell ref="A6:F7"/>
    <mergeCell ref="G6:N6"/>
    <mergeCell ref="O6:P6"/>
    <mergeCell ref="G7:N7"/>
    <mergeCell ref="O7:P7"/>
    <mergeCell ref="A8:C8"/>
    <mergeCell ref="D8:F8"/>
    <mergeCell ref="G8:K8"/>
    <mergeCell ref="L8:M8"/>
    <mergeCell ref="N8:O8"/>
  </mergeCells>
  <conditionalFormatting sqref="S9">
    <cfRule type="cellIs" dxfId="174" priority="8" stopIfTrue="1" operator="lessThan">
      <formula>1</formula>
    </cfRule>
  </conditionalFormatting>
  <conditionalFormatting sqref="M15:M90">
    <cfRule type="cellIs" dxfId="173" priority="6" stopIfTrue="1" operator="equal">
      <formula>"Vencida"</formula>
    </cfRule>
    <cfRule type="cellIs" dxfId="172" priority="7" stopIfTrue="1" operator="equal">
      <formula>"Si"</formula>
    </cfRule>
  </conditionalFormatting>
  <dataValidations count="2">
    <dataValidation type="date" operator="greaterThan" allowBlank="1" showInputMessage="1" showErrorMessage="1" errorTitle="INTRODUZCA FECHA" error="DD/MM/AA" promptTitle="FECHA DE ELABORACIÓN" prompt="Ingrese la fecha en la cual elabora el plan de manejo de riesgos" sqref="O3" xr:uid="{00000000-0002-0000-0100-000000000000}">
      <formula1>#REF!</formula1>
    </dataValidation>
    <dataValidation type="whole" operator="lessThanOrEqual" allowBlank="1" showInputMessage="1" showErrorMessage="1" errorTitle="SUPERA LA UNIDAD DE MEDIDA" error="El valor registrado supera la unidad de medida" sqref="K15:K90" xr:uid="{00000000-0002-0000-0100-000001000000}">
      <formula1>H15</formula1>
    </dataValidation>
  </dataValidations>
  <pageMargins left="0.9055118110236221" right="0.31496062992125984" top="0.55118110236220474" bottom="0.55118110236220474" header="0.31496062992125984" footer="0.31496062992125984"/>
  <pageSetup paperSize="5" scale="61" orientation="landscape" r:id="rId1"/>
  <colBreaks count="1" manualBreakCount="1">
    <brk id="16" max="12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H242"/>
  <sheetViews>
    <sheetView tabSelected="1" topLeftCell="A67" zoomScale="70" zoomScaleNormal="70" zoomScaleSheetLayoutView="90" workbookViewId="0">
      <selection activeCell="C15" sqref="C15:C17"/>
    </sheetView>
  </sheetViews>
  <sheetFormatPr baseColWidth="10" defaultColWidth="9.140625" defaultRowHeight="12.75" x14ac:dyDescent="0.2"/>
  <cols>
    <col min="1" max="1" width="6" style="8" customWidth="1"/>
    <col min="2" max="2" width="9.42578125" style="8" hidden="1" customWidth="1"/>
    <col min="3" max="3" width="54.5703125" style="255" customWidth="1"/>
    <col min="4" max="4" width="22.42578125" style="223" customWidth="1"/>
    <col min="5" max="5" width="19.85546875" style="8" customWidth="1"/>
    <col min="6" max="6" width="26" style="262" customWidth="1"/>
    <col min="7" max="7" width="12.140625" style="206" customWidth="1"/>
    <col min="8" max="8" width="10.28515625" style="206" customWidth="1"/>
    <col min="9" max="9" width="9.7109375" style="206" customWidth="1"/>
    <col min="10" max="10" width="11.7109375" style="206" customWidth="1"/>
    <col min="11" max="11" width="9.7109375" style="8" customWidth="1"/>
    <col min="12" max="12" width="13.42578125" style="226" customWidth="1"/>
    <col min="13" max="13" width="12.140625" style="226" customWidth="1"/>
    <col min="14" max="14" width="14" style="504" customWidth="1"/>
    <col min="15" max="15" width="16" style="223" customWidth="1"/>
    <col min="16" max="16" width="13.85546875" style="223" customWidth="1"/>
    <col min="17" max="17" width="17.7109375" style="223" customWidth="1"/>
    <col min="18" max="18" width="10.140625" style="8" hidden="1" customWidth="1"/>
    <col min="19" max="19" width="11.42578125" style="8" hidden="1" customWidth="1"/>
    <col min="20" max="20" width="9.140625" style="33" hidden="1" customWidth="1"/>
    <col min="21" max="21" width="11.85546875" style="33" hidden="1" customWidth="1"/>
    <col min="22" max="22" width="17.28515625" style="209" hidden="1" customWidth="1"/>
    <col min="23" max="23" width="14.28515625" style="206" hidden="1" customWidth="1"/>
    <col min="24" max="24" width="4.5703125" style="206" hidden="1" customWidth="1"/>
    <col min="25" max="25" width="4.28515625" style="206" hidden="1" customWidth="1"/>
    <col min="26" max="26" width="15.85546875" style="206" hidden="1" customWidth="1"/>
    <col min="27" max="27" width="20.28515625" style="234" hidden="1" customWidth="1"/>
    <col min="28" max="28" width="44.85546875" style="206" hidden="1" customWidth="1"/>
    <col min="29" max="29" width="22.42578125" style="206" hidden="1" customWidth="1"/>
    <col min="30" max="30" width="33.5703125" style="206" hidden="1" customWidth="1"/>
    <col min="31" max="31" width="23.85546875" style="206" hidden="1" customWidth="1"/>
    <col min="32" max="32" width="30.140625" style="9" hidden="1" customWidth="1"/>
    <col min="33" max="33" width="8" style="27" hidden="1" customWidth="1"/>
    <col min="34" max="34" width="9.140625" style="9" hidden="1" customWidth="1"/>
    <col min="35" max="37" width="9.140625" style="9" customWidth="1"/>
    <col min="38" max="16384" width="9.140625" style="9"/>
  </cols>
  <sheetData>
    <row r="1" spans="1:33" ht="15" x14ac:dyDescent="0.2">
      <c r="A1" s="4"/>
      <c r="B1" s="5"/>
      <c r="C1" s="252"/>
      <c r="D1" s="739" t="s">
        <v>20</v>
      </c>
      <c r="E1" s="739"/>
      <c r="F1" s="739"/>
      <c r="G1" s="739"/>
      <c r="H1" s="739"/>
      <c r="I1" s="739"/>
      <c r="J1" s="739"/>
      <c r="K1" s="739"/>
      <c r="L1" s="5"/>
      <c r="M1" s="5"/>
      <c r="N1" s="501"/>
      <c r="O1" s="433"/>
      <c r="P1" s="434" t="s">
        <v>15</v>
      </c>
      <c r="Q1" s="435" t="s">
        <v>19</v>
      </c>
    </row>
    <row r="2" spans="1:33" ht="15.75" thickBot="1" x14ac:dyDescent="0.25">
      <c r="A2" s="10"/>
      <c r="B2" s="11"/>
      <c r="C2" s="253"/>
      <c r="D2" s="221"/>
      <c r="E2" s="512"/>
      <c r="F2" s="256"/>
      <c r="G2" s="207"/>
      <c r="H2" s="204"/>
      <c r="I2" s="204"/>
      <c r="J2" s="204"/>
      <c r="K2" s="11"/>
      <c r="L2" s="11"/>
      <c r="M2" s="11"/>
      <c r="N2" s="502"/>
      <c r="O2" s="221"/>
      <c r="P2" s="436" t="s">
        <v>16</v>
      </c>
      <c r="Q2" s="437">
        <v>2</v>
      </c>
    </row>
    <row r="3" spans="1:33" ht="18.75" thickBot="1" x14ac:dyDescent="0.25">
      <c r="A3" s="10"/>
      <c r="B3" s="11"/>
      <c r="C3" s="253"/>
      <c r="D3" s="1025" t="s">
        <v>420</v>
      </c>
      <c r="E3" s="1025"/>
      <c r="F3" s="1025"/>
      <c r="G3" s="1025"/>
      <c r="H3" s="1025"/>
      <c r="I3" s="1025"/>
      <c r="J3" s="1025"/>
      <c r="K3" s="1025"/>
      <c r="L3" s="11"/>
      <c r="M3" s="11"/>
      <c r="N3" s="502"/>
      <c r="O3" s="221"/>
      <c r="P3" s="436" t="s">
        <v>17</v>
      </c>
      <c r="Q3" s="438">
        <v>41404</v>
      </c>
      <c r="AA3" s="1108" t="s">
        <v>369</v>
      </c>
      <c r="AB3" s="1109"/>
      <c r="AC3" s="1109"/>
      <c r="AD3" s="1109"/>
      <c r="AE3" s="1109"/>
      <c r="AF3" s="1109"/>
      <c r="AG3" s="1110"/>
    </row>
    <row r="4" spans="1:33" ht="18.75" customHeight="1" thickBot="1" x14ac:dyDescent="0.25">
      <c r="A4" s="16"/>
      <c r="B4" s="17"/>
      <c r="C4" s="254"/>
      <c r="D4" s="222"/>
      <c r="E4" s="18"/>
      <c r="F4" s="257"/>
      <c r="G4" s="208"/>
      <c r="H4" s="205"/>
      <c r="I4" s="205"/>
      <c r="J4" s="205"/>
      <c r="K4" s="17"/>
      <c r="L4" s="17"/>
      <c r="M4" s="17"/>
      <c r="N4" s="503"/>
      <c r="O4" s="222"/>
      <c r="P4" s="439" t="s">
        <v>27</v>
      </c>
      <c r="Q4" s="440" t="s">
        <v>18</v>
      </c>
      <c r="AA4" s="286" t="s">
        <v>92</v>
      </c>
      <c r="AB4" s="286" t="s">
        <v>96</v>
      </c>
      <c r="AC4" s="286" t="s">
        <v>91</v>
      </c>
      <c r="AD4" s="909" t="s">
        <v>97</v>
      </c>
      <c r="AE4" s="910"/>
      <c r="AF4" s="910"/>
      <c r="AG4" s="911"/>
    </row>
    <row r="5" spans="1:33" ht="15.75" thickBot="1" x14ac:dyDescent="0.25">
      <c r="A5" s="11"/>
      <c r="B5" s="11"/>
      <c r="C5" s="253"/>
      <c r="D5" s="221"/>
      <c r="E5" s="512"/>
      <c r="F5" s="256"/>
      <c r="G5" s="207"/>
      <c r="H5" s="204"/>
      <c r="I5" s="204"/>
      <c r="J5" s="204"/>
      <c r="K5" s="11"/>
      <c r="L5" s="11"/>
      <c r="M5" s="11"/>
      <c r="N5" s="502"/>
      <c r="O5" s="221"/>
      <c r="P5" s="441"/>
      <c r="Q5" s="442"/>
      <c r="AA5" s="276" t="s">
        <v>93</v>
      </c>
      <c r="AB5" s="278" t="s">
        <v>309</v>
      </c>
      <c r="AC5" s="278" t="s">
        <v>98</v>
      </c>
      <c r="AD5" s="912" t="s">
        <v>308</v>
      </c>
      <c r="AE5" s="913"/>
      <c r="AF5" s="913"/>
      <c r="AG5" s="914"/>
    </row>
    <row r="6" spans="1:33" ht="15.75" thickBot="1" x14ac:dyDescent="0.25">
      <c r="A6" s="1032" t="s">
        <v>36</v>
      </c>
      <c r="B6" s="1033"/>
      <c r="C6" s="1033"/>
      <c r="D6" s="1033"/>
      <c r="E6" s="1034"/>
      <c r="F6" s="1026" t="s">
        <v>22</v>
      </c>
      <c r="G6" s="1027"/>
      <c r="H6" s="1027"/>
      <c r="I6" s="1027"/>
      <c r="J6" s="1027"/>
      <c r="K6" s="1027"/>
      <c r="L6" s="1027"/>
      <c r="M6" s="1027"/>
      <c r="N6" s="1027"/>
      <c r="O6" s="1027"/>
      <c r="P6" s="1052">
        <f>T118</f>
        <v>0.73903508771929816</v>
      </c>
      <c r="Q6" s="1053"/>
      <c r="AA6" s="276" t="s">
        <v>94</v>
      </c>
      <c r="AB6" s="278" t="s">
        <v>310</v>
      </c>
      <c r="AC6" s="278" t="s">
        <v>99</v>
      </c>
      <c r="AD6" s="915" t="s">
        <v>368</v>
      </c>
      <c r="AE6" s="916"/>
      <c r="AF6" s="916"/>
      <c r="AG6" s="917"/>
    </row>
    <row r="7" spans="1:33" ht="15.75" thickBot="1" x14ac:dyDescent="0.25">
      <c r="A7" s="1035"/>
      <c r="B7" s="1036"/>
      <c r="C7" s="1036"/>
      <c r="D7" s="1036"/>
      <c r="E7" s="1037"/>
      <c r="F7" s="1030" t="s">
        <v>49</v>
      </c>
      <c r="G7" s="1031"/>
      <c r="H7" s="1031"/>
      <c r="I7" s="1031"/>
      <c r="J7" s="1031"/>
      <c r="K7" s="1031"/>
      <c r="L7" s="1027"/>
      <c r="M7" s="1027"/>
      <c r="N7" s="1027"/>
      <c r="O7" s="1031"/>
      <c r="P7" s="1067">
        <f>V9</f>
        <v>1</v>
      </c>
      <c r="Q7" s="751"/>
      <c r="AA7" s="277" t="s">
        <v>95</v>
      </c>
      <c r="AB7" s="279" t="s">
        <v>311</v>
      </c>
      <c r="AC7" s="279" t="s">
        <v>100</v>
      </c>
      <c r="AD7" s="280" t="s">
        <v>312</v>
      </c>
      <c r="AE7" s="273"/>
      <c r="AF7" s="274"/>
      <c r="AG7" s="275"/>
    </row>
    <row r="8" spans="1:33" ht="15" x14ac:dyDescent="0.2">
      <c r="A8" s="1028" t="s">
        <v>24</v>
      </c>
      <c r="B8" s="1029"/>
      <c r="C8" s="1029"/>
      <c r="D8" s="1167">
        <v>44312</v>
      </c>
      <c r="E8" s="1168"/>
      <c r="F8" s="1044" t="s">
        <v>50</v>
      </c>
      <c r="G8" s="1045"/>
      <c r="H8" s="1045"/>
      <c r="I8" s="1045"/>
      <c r="J8" s="1045"/>
      <c r="K8" s="1045"/>
      <c r="L8" s="1048">
        <f>V11</f>
        <v>30</v>
      </c>
      <c r="M8" s="1048"/>
      <c r="N8" s="1048"/>
      <c r="O8" s="1046" t="s">
        <v>52</v>
      </c>
      <c r="P8" s="1046"/>
      <c r="Q8" s="538">
        <f>$V$8</f>
        <v>103</v>
      </c>
      <c r="S8" s="1111" t="s">
        <v>38</v>
      </c>
      <c r="T8" s="1112"/>
      <c r="U8" s="1113"/>
      <c r="V8" s="945">
        <v>103</v>
      </c>
      <c r="W8" s="946"/>
      <c r="X8" s="528"/>
      <c r="Y8" s="528"/>
      <c r="Z8" s="528"/>
      <c r="AA8" s="286" t="s">
        <v>105</v>
      </c>
      <c r="AB8" s="286" t="s">
        <v>107</v>
      </c>
      <c r="AC8" s="210"/>
      <c r="AD8" s="210"/>
    </row>
    <row r="9" spans="1:33" x14ac:dyDescent="0.2">
      <c r="A9" s="1028" t="s">
        <v>29</v>
      </c>
      <c r="B9" s="1029"/>
      <c r="C9" s="1029"/>
      <c r="D9" s="1169" t="s">
        <v>525</v>
      </c>
      <c r="E9" s="1170"/>
      <c r="F9" s="1040" t="s">
        <v>46</v>
      </c>
      <c r="G9" s="1041"/>
      <c r="H9" s="1041"/>
      <c r="I9" s="1041"/>
      <c r="J9" s="1041"/>
      <c r="K9" s="1041"/>
      <c r="L9" s="551">
        <f>$V$118</f>
        <v>13</v>
      </c>
      <c r="M9" s="552"/>
      <c r="N9" s="553">
        <f>L9/L8</f>
        <v>0.43333333333333335</v>
      </c>
      <c r="O9" s="1047" t="s">
        <v>51</v>
      </c>
      <c r="P9" s="1047"/>
      <c r="Q9" s="65">
        <f>COUNTIF($L$15:$L$117,"Finalizada")</f>
        <v>71</v>
      </c>
      <c r="S9" s="1114" t="s">
        <v>39</v>
      </c>
      <c r="T9" s="1115"/>
      <c r="U9" s="1116"/>
      <c r="V9" s="947">
        <f>100%-(Q10/$V$8)</f>
        <v>1</v>
      </c>
      <c r="W9" s="948"/>
      <c r="X9" s="528"/>
      <c r="Y9" s="528"/>
      <c r="Z9" s="528"/>
      <c r="AA9" s="276" t="s">
        <v>101</v>
      </c>
      <c r="AB9" s="283" t="s">
        <v>108</v>
      </c>
      <c r="AC9" s="211"/>
      <c r="AD9" s="211"/>
    </row>
    <row r="10" spans="1:33" ht="15" x14ac:dyDescent="0.2">
      <c r="A10" s="1028" t="s">
        <v>10</v>
      </c>
      <c r="B10" s="1029"/>
      <c r="C10" s="1029"/>
      <c r="D10" s="1038" t="s">
        <v>511</v>
      </c>
      <c r="E10" s="1039"/>
      <c r="F10" s="1042" t="s">
        <v>48</v>
      </c>
      <c r="G10" s="1043"/>
      <c r="H10" s="1043"/>
      <c r="I10" s="1043"/>
      <c r="J10" s="1043"/>
      <c r="K10" s="1043"/>
      <c r="L10" s="771">
        <f>$V$10</f>
        <v>38</v>
      </c>
      <c r="M10" s="771"/>
      <c r="N10" s="771"/>
      <c r="O10" s="1047" t="s">
        <v>53</v>
      </c>
      <c r="P10" s="1047"/>
      <c r="Q10" s="65">
        <f>COUNTIF($L$15:$L$117,"Vencida")</f>
        <v>0</v>
      </c>
      <c r="R10" s="23"/>
      <c r="S10" s="1117" t="s">
        <v>44</v>
      </c>
      <c r="T10" s="1118"/>
      <c r="U10" s="1119"/>
      <c r="V10" s="264">
        <v>38</v>
      </c>
      <c r="W10" s="267">
        <f>1/$V$10</f>
        <v>2.6315789473684209E-2</v>
      </c>
      <c r="X10" s="265"/>
      <c r="Y10" s="265"/>
      <c r="Z10" s="265"/>
      <c r="AA10" s="281" t="s">
        <v>102</v>
      </c>
      <c r="AB10" s="284" t="s">
        <v>109</v>
      </c>
      <c r="AC10" s="211"/>
      <c r="AD10" s="211"/>
    </row>
    <row r="11" spans="1:33" ht="13.5" thickBot="1" x14ac:dyDescent="0.25">
      <c r="A11" s="1063" t="s">
        <v>11</v>
      </c>
      <c r="B11" s="1064"/>
      <c r="C11" s="1064"/>
      <c r="D11" s="1059">
        <v>44286</v>
      </c>
      <c r="E11" s="1060"/>
      <c r="F11" s="1061" t="s">
        <v>47</v>
      </c>
      <c r="G11" s="1062"/>
      <c r="H11" s="1062"/>
      <c r="I11" s="1062"/>
      <c r="J11" s="1062"/>
      <c r="K11" s="1062"/>
      <c r="L11" s="554">
        <f>$U$118</f>
        <v>20</v>
      </c>
      <c r="M11" s="552"/>
      <c r="N11" s="553">
        <f>L11/L10</f>
        <v>0.52631578947368418</v>
      </c>
      <c r="O11" s="1049" t="s">
        <v>54</v>
      </c>
      <c r="P11" s="1049"/>
      <c r="Q11" s="67">
        <f>COUNTIF($K$15:$K$117,0)+ COUNTIF($K$15:$K$117,"")</f>
        <v>32</v>
      </c>
      <c r="S11" s="1120" t="s">
        <v>45</v>
      </c>
      <c r="T11" s="1121"/>
      <c r="U11" s="1122"/>
      <c r="V11" s="268">
        <v>30</v>
      </c>
      <c r="W11" s="269">
        <f>1/$V$11</f>
        <v>3.3333333333333333E-2</v>
      </c>
      <c r="X11" s="266"/>
      <c r="Y11" s="266"/>
      <c r="Z11" s="266"/>
      <c r="AA11" s="282" t="s">
        <v>103</v>
      </c>
      <c r="AB11" s="285"/>
      <c r="AC11" s="211"/>
      <c r="AD11" s="211"/>
    </row>
    <row r="12" spans="1:33" ht="13.5" thickBot="1" x14ac:dyDescent="0.25">
      <c r="A12" s="787"/>
      <c r="B12" s="788"/>
      <c r="C12" s="788"/>
      <c r="D12" s="788"/>
      <c r="E12" s="788"/>
      <c r="F12" s="788"/>
      <c r="G12" s="788"/>
      <c r="H12" s="788"/>
      <c r="I12" s="788"/>
      <c r="J12" s="788"/>
      <c r="K12" s="788"/>
      <c r="L12" s="788"/>
      <c r="M12" s="788"/>
      <c r="N12" s="788"/>
      <c r="O12" s="788"/>
      <c r="P12" s="788"/>
      <c r="Q12" s="789"/>
      <c r="AC12" s="211"/>
      <c r="AD12" s="211"/>
    </row>
    <row r="13" spans="1:33" s="8" customFormat="1" ht="29.25" customHeight="1" x14ac:dyDescent="0.2">
      <c r="A13" s="1074" t="s">
        <v>55</v>
      </c>
      <c r="B13" s="1075"/>
      <c r="C13" s="244" t="s">
        <v>7</v>
      </c>
      <c r="D13" s="1065" t="s">
        <v>30</v>
      </c>
      <c r="E13" s="1065" t="s">
        <v>63</v>
      </c>
      <c r="F13" s="1006" t="s">
        <v>25</v>
      </c>
      <c r="G13" s="1007"/>
      <c r="H13" s="1007"/>
      <c r="I13" s="1007"/>
      <c r="J13" s="1068"/>
      <c r="K13" s="1006" t="s">
        <v>26</v>
      </c>
      <c r="L13" s="1007"/>
      <c r="M13" s="918" t="s">
        <v>325</v>
      </c>
      <c r="N13" s="1008" t="s">
        <v>163</v>
      </c>
      <c r="O13" s="1008"/>
      <c r="P13" s="1008"/>
      <c r="Q13" s="1009"/>
      <c r="R13" s="991" t="s">
        <v>41</v>
      </c>
      <c r="S13" s="780"/>
      <c r="T13" s="999" t="s">
        <v>76</v>
      </c>
      <c r="U13" s="1000"/>
      <c r="V13" s="1054" t="s">
        <v>107</v>
      </c>
      <c r="W13" s="1056" t="s">
        <v>90</v>
      </c>
      <c r="X13" s="1057"/>
      <c r="Y13" s="1057"/>
      <c r="Z13" s="1057"/>
      <c r="AA13" s="1057"/>
      <c r="AB13" s="1057"/>
      <c r="AC13" s="1057"/>
      <c r="AD13" s="1057"/>
      <c r="AE13" s="1057"/>
      <c r="AF13" s="1058"/>
      <c r="AG13" s="34"/>
    </row>
    <row r="14" spans="1:33" s="8" customFormat="1" ht="36" customHeight="1" thickBot="1" x14ac:dyDescent="0.25">
      <c r="A14" s="245" t="s">
        <v>8</v>
      </c>
      <c r="B14" s="527" t="s">
        <v>6</v>
      </c>
      <c r="C14" s="527" t="s">
        <v>5</v>
      </c>
      <c r="D14" s="1066"/>
      <c r="E14" s="1066"/>
      <c r="F14" s="246" t="s">
        <v>1</v>
      </c>
      <c r="G14" s="246" t="s">
        <v>89</v>
      </c>
      <c r="H14" s="246" t="s">
        <v>0</v>
      </c>
      <c r="I14" s="246" t="s">
        <v>32</v>
      </c>
      <c r="J14" s="246" t="s">
        <v>12</v>
      </c>
      <c r="K14" s="247" t="s">
        <v>106</v>
      </c>
      <c r="L14" s="475" t="s">
        <v>104</v>
      </c>
      <c r="M14" s="919"/>
      <c r="N14" s="1010"/>
      <c r="O14" s="1010"/>
      <c r="P14" s="1010"/>
      <c r="Q14" s="1011"/>
      <c r="R14" s="224" t="s">
        <v>42</v>
      </c>
      <c r="S14" s="219" t="s">
        <v>43</v>
      </c>
      <c r="T14" s="1001"/>
      <c r="U14" s="1002"/>
      <c r="V14" s="1055"/>
      <c r="W14" s="225" t="s">
        <v>439</v>
      </c>
      <c r="X14" s="263"/>
      <c r="Y14" s="263"/>
      <c r="Z14" s="263" t="s">
        <v>377</v>
      </c>
      <c r="AA14" s="220" t="s">
        <v>515</v>
      </c>
      <c r="AB14" s="220" t="s">
        <v>376</v>
      </c>
      <c r="AC14" s="220" t="s">
        <v>516</v>
      </c>
      <c r="AD14" s="220" t="s">
        <v>517</v>
      </c>
      <c r="AE14" s="220" t="s">
        <v>518</v>
      </c>
      <c r="AF14" s="212" t="s">
        <v>519</v>
      </c>
      <c r="AG14" s="34"/>
    </row>
    <row r="15" spans="1:33" s="27" customFormat="1" ht="51.75" customHeight="1" x14ac:dyDescent="0.2">
      <c r="A15" s="989">
        <f>'1115-F02 Informe PM'!A14</f>
        <v>1</v>
      </c>
      <c r="B15" s="887" t="str">
        <f>'1115-F02 Informe PM'!B14</f>
        <v>01-2019</v>
      </c>
      <c r="C15" s="885" t="str">
        <f>'1115-F02 Informe PM'!C14</f>
        <v>HALLAZGO 1 CONCILIACIÓN CARTERA
La Universidad Tecnológica de Pereira presenta en el Estado de Situación Financiera a 31/12/2019, un saldo por cobrar en la cuenta 1317 Prestación de Servicios por $5.729.951.935, que representa el 76% del saldo total del grupo 13 Cuentas por cobrar por $7.504.089.135. 
Para confirmar el saldo de la cuenta 1317, se circularizaron 15 terceros con saldos por $4.856.512.939; de los cuales, 6 terceros informaron a este Ente de Control, no poseer cuentas por pagar a 31/12/2019 a favor de la UTP; o en su defecto, los saldos en su contabilidad difieren del valor presentado por la Universidad Tecnológica de Pereira, estableciendo una diferencia de $1.413.349.397 al confirmar los saldos por terceros circularizados. (ver tabla 8 Informe)</v>
      </c>
      <c r="D15" s="883" t="str">
        <f>'1115-F02 Informe PM'!D14</f>
        <v>Debilidades de control en el proceso de análisis, verificación y conciliación de la información contable</v>
      </c>
      <c r="E15" s="881" t="str">
        <f>'1115-F02 Informe PM'!F14</f>
        <v>Revisión del Procedimiento  y el Manual de Politicas Contables establecidos para la Cartera y Conciliación de la misma.</v>
      </c>
      <c r="F15" s="258" t="str">
        <f>'1115-F02 Informe PM'!G14</f>
        <v>Analizar los procedimientos y Manual de Politicas establecidos para la Cartera y la conciliación de la misma</v>
      </c>
      <c r="G15" s="213" t="str">
        <f>'1115-F02 Informe PM'!H14</f>
        <v>Gestion Contable</v>
      </c>
      <c r="H15" s="213" t="str">
        <f>'1115-F02 Informe PM'!I14</f>
        <v>Documento</v>
      </c>
      <c r="I15" s="213">
        <f>'1115-F02 Informe PM'!J14</f>
        <v>1</v>
      </c>
      <c r="J15" s="214">
        <f>'1115-F02 Informe PM'!L14</f>
        <v>44255</v>
      </c>
      <c r="K15" s="366">
        <v>1</v>
      </c>
      <c r="L15" s="1171" t="str">
        <f t="shared" ref="L15:L47" si="0">IF(K15=I15,$AA$9,IF(AND(K15&lt;I15,J15&lt;$D$11),$AA$10,$AA$11))</f>
        <v>Finalizada</v>
      </c>
      <c r="M15" s="1171" t="s">
        <v>526</v>
      </c>
      <c r="N15" s="1018" t="s">
        <v>499</v>
      </c>
      <c r="O15" s="1019"/>
      <c r="P15" s="1019"/>
      <c r="Q15" s="1020"/>
      <c r="R15" s="35">
        <f>K15/I15</f>
        <v>1</v>
      </c>
      <c r="S15" s="26">
        <f>(R15)/3</f>
        <v>0.33333333333333331</v>
      </c>
      <c r="T15" s="833">
        <f>(S15+S16+S17)/$V$10</f>
        <v>1.7543859649122806E-2</v>
      </c>
      <c r="U15" s="949" t="str">
        <f>IF(T15=$W$10, "CUMPLIDA", "PENDIENTE")</f>
        <v>PENDIENTE</v>
      </c>
      <c r="V15" s="860" t="str">
        <f>IF(AND(T15=$W$10),$AB$9,$AB$10)</f>
        <v>HALLAZGO PENDIENTE DE CUMPLIMIENTO DE ACCION</v>
      </c>
      <c r="W15" s="513" t="s">
        <v>93</v>
      </c>
      <c r="X15" s="513">
        <f>IF(W15="",0,IF(W15=$AA$5,3,IF(W15=$AA$7,0,2)))</f>
        <v>3</v>
      </c>
      <c r="Y15" s="862">
        <f>AVERAGEA(X15:X17)</f>
        <v>2</v>
      </c>
      <c r="Z15" s="865" t="str">
        <f>IF(Y15=3,$AB$5,IF(Y15=0,$AB$7,$AB$6))</f>
        <v>ACCION(ES) PARCIALMENTE CUMPLIDA(S)</v>
      </c>
      <c r="AA15" s="865" t="str">
        <f>IF(Z15=$AB$5,$AB$5,IF(Z15=$AB$7,$AB$7,$AB$6))</f>
        <v>ACCION(ES) PARCIALMENTE CUMPLIDA(S)</v>
      </c>
      <c r="AB15" s="868" t="s">
        <v>475</v>
      </c>
      <c r="AC15" s="935" t="s">
        <v>100</v>
      </c>
      <c r="AD15" s="868" t="s">
        <v>476</v>
      </c>
      <c r="AE15" s="873" t="str">
        <f>IF(AND(Z15=$AB$5, AC15=$AC$5),$AD$5,IF(AND(Z15=$AB$6, AC15=$AC$7),$AD$7,IF(AND(Z15=$AB$5, AC15=$AC$7),$AD$7,$AD$6)))</f>
        <v>HALLAZGO PENDIENTE DE EVALUACION - Acciones no finalizadas, o acciones que siendo finalizadas, no se puede comprobar la efectividad en el periodo.</v>
      </c>
      <c r="AF15" s="950" t="s">
        <v>476</v>
      </c>
    </row>
    <row r="16" spans="1:33" s="27" customFormat="1" ht="53.25" customHeight="1" x14ac:dyDescent="0.2">
      <c r="A16" s="980"/>
      <c r="B16" s="899"/>
      <c r="C16" s="925"/>
      <c r="D16" s="923"/>
      <c r="E16" s="921"/>
      <c r="F16" s="259" t="str">
        <f>'1115-F02 Informe PM'!G15</f>
        <v>Documentar y adoptar las actualizaciones en los procedimientos y Manual de Políticas Contable de la Cartera.</v>
      </c>
      <c r="G16" s="217" t="str">
        <f>'1115-F02 Informe PM'!H15</f>
        <v>Gestion Contable</v>
      </c>
      <c r="H16" s="217" t="str">
        <f>'1115-F02 Informe PM'!I15</f>
        <v>Documento</v>
      </c>
      <c r="I16" s="217">
        <f>'1115-F02 Informe PM'!J15</f>
        <v>1</v>
      </c>
      <c r="J16" s="218">
        <f>'1115-F02 Informe PM'!L15</f>
        <v>44316</v>
      </c>
      <c r="K16" s="367">
        <v>1</v>
      </c>
      <c r="L16" s="1172" t="str">
        <f t="shared" si="0"/>
        <v>Finalizada</v>
      </c>
      <c r="M16" s="1172" t="s">
        <v>526</v>
      </c>
      <c r="N16" s="952" t="s">
        <v>500</v>
      </c>
      <c r="O16" s="1004"/>
      <c r="P16" s="1004"/>
      <c r="Q16" s="1005"/>
      <c r="R16" s="36">
        <f t="shared" ref="R16:R80" si="1">K16/I16</f>
        <v>1</v>
      </c>
      <c r="S16" s="28">
        <f t="shared" ref="S16:S74" si="2">(R16)/3</f>
        <v>0.33333333333333331</v>
      </c>
      <c r="T16" s="834"/>
      <c r="U16" s="834"/>
      <c r="V16" s="876"/>
      <c r="W16" s="515" t="s">
        <v>93</v>
      </c>
      <c r="X16" s="515">
        <f t="shared" ref="X16:X79" si="3">IF(W16="",0,IF(W16=$AA$5,3,IF(W16=$AA$7,0,2)))</f>
        <v>3</v>
      </c>
      <c r="Y16" s="864"/>
      <c r="Z16" s="866"/>
      <c r="AA16" s="866"/>
      <c r="AB16" s="869"/>
      <c r="AC16" s="936"/>
      <c r="AD16" s="869"/>
      <c r="AE16" s="874"/>
      <c r="AF16" s="857"/>
    </row>
    <row r="17" spans="1:32" s="27" customFormat="1" ht="66" customHeight="1" thickBot="1" x14ac:dyDescent="0.25">
      <c r="A17" s="990"/>
      <c r="B17" s="900"/>
      <c r="C17" s="938"/>
      <c r="D17" s="939"/>
      <c r="E17" s="940"/>
      <c r="F17" s="272" t="str">
        <f>'1115-F02 Informe PM'!G16</f>
        <v>Socializar Procedimiento establecido con las dependencias involucradas en el proceso de cartera</v>
      </c>
      <c r="G17" s="250" t="str">
        <f>'1115-F02 Informe PM'!H16</f>
        <v>Gestion Contable</v>
      </c>
      <c r="H17" s="250" t="str">
        <f>'1115-F02 Informe PM'!I16</f>
        <v>Documento</v>
      </c>
      <c r="I17" s="250">
        <f>'1115-F02 Informe PM'!J16</f>
        <v>1</v>
      </c>
      <c r="J17" s="251">
        <f>'1115-F02 Informe PM'!L16</f>
        <v>44347</v>
      </c>
      <c r="K17" s="370">
        <v>0</v>
      </c>
      <c r="L17" s="1173" t="str">
        <f t="shared" si="0"/>
        <v xml:space="preserve">Vigente </v>
      </c>
      <c r="M17" s="1173" t="s">
        <v>526</v>
      </c>
      <c r="N17" s="1179" t="s">
        <v>527</v>
      </c>
      <c r="O17" s="1179"/>
      <c r="P17" s="1179"/>
      <c r="Q17" s="1180"/>
      <c r="R17" s="48">
        <f t="shared" si="1"/>
        <v>0</v>
      </c>
      <c r="S17" s="49">
        <f t="shared" si="2"/>
        <v>0</v>
      </c>
      <c r="T17" s="847"/>
      <c r="U17" s="847"/>
      <c r="V17" s="890"/>
      <c r="W17" s="522"/>
      <c r="X17" s="522">
        <f t="shared" si="3"/>
        <v>0</v>
      </c>
      <c r="Y17" s="889"/>
      <c r="Z17" s="933"/>
      <c r="AA17" s="933"/>
      <c r="AB17" s="934"/>
      <c r="AC17" s="937"/>
      <c r="AD17" s="934"/>
      <c r="AE17" s="941"/>
      <c r="AF17" s="951"/>
    </row>
    <row r="18" spans="1:32" s="27" customFormat="1" ht="53.25" customHeight="1" x14ac:dyDescent="0.2">
      <c r="A18" s="989">
        <f>'1115-F02 Informe PM'!A17</f>
        <v>2</v>
      </c>
      <c r="B18" s="887" t="str">
        <f>'1115-F02 Informe PM'!B17</f>
        <v>02-2019</v>
      </c>
      <c r="C18" s="885" t="str">
        <f>'1115-F02 Informe PM'!C17</f>
        <v>HALLAZGO 2 DETERIORO DE CUENTAS POR COBRAR 
Contrario a lo señalado en su propio Manual de Políticas Contables, la Universidad Tecnológica de Pereira, para la vigencia 2019, registró deterioro de cuentas por cobrar por $4.181.816, cuyo vencimiento no alcanzaba los 180 días, como se detalla a continuación (Ver tabla 9 de informe).  Estas cuentas por cobrar antes de ser deterioradas fueron registradas en la cuenta 1385 Cuentas por cobrar de difícil recaudo, en donde se reconocen las cuentas que por su antigüedad y morosidad (180 días) han sido reclasificadas desde la cuenta principal, por lo tanto, las cuentas en mención no cumplían el requisito para haber sido reclasificadas a la cuenta 1385 y posteriormente deterioradas.</v>
      </c>
      <c r="D18" s="883" t="str">
        <f>'1115-F02 Informe PM'!D17</f>
        <v xml:space="preserve">Debilidades de control y seguimiento al procedimiento de deterioro de las cuentas por cobrar, situación </v>
      </c>
      <c r="E18" s="881" t="str">
        <f>'1115-F02 Informe PM'!F17</f>
        <v xml:space="preserve">Revisión del Manual de Politicas en relación a procedimiento establecido por la CGN con respecto al Deterioro de las Cuentas por Cobrar </v>
      </c>
      <c r="F18" s="258" t="str">
        <f>'1115-F02 Informe PM'!G17</f>
        <v>Analizar los procedimientos y Manual de Politicas establecidos para el deterioro de Cuentas por Cobrar</v>
      </c>
      <c r="G18" s="213" t="str">
        <f>'1115-F02 Informe PM'!H17</f>
        <v>Gestion Contable</v>
      </c>
      <c r="H18" s="213" t="str">
        <f>'1115-F02 Informe PM'!I17</f>
        <v>Documento</v>
      </c>
      <c r="I18" s="213">
        <f>'1115-F02 Informe PM'!J17</f>
        <v>1</v>
      </c>
      <c r="J18" s="214">
        <f>'1115-F02 Informe PM'!L17</f>
        <v>44255</v>
      </c>
      <c r="K18" s="366">
        <v>1</v>
      </c>
      <c r="L18" s="1171" t="str">
        <f t="shared" si="0"/>
        <v>Finalizada</v>
      </c>
      <c r="M18" s="1171" t="s">
        <v>526</v>
      </c>
      <c r="N18" s="1018" t="s">
        <v>501</v>
      </c>
      <c r="O18" s="1019"/>
      <c r="P18" s="1019"/>
      <c r="Q18" s="1020"/>
      <c r="R18" s="35">
        <f t="shared" si="1"/>
        <v>1</v>
      </c>
      <c r="S18" s="26">
        <f t="shared" si="2"/>
        <v>0.33333333333333331</v>
      </c>
      <c r="T18" s="833">
        <f>(S18+S19+S20)/$V$10</f>
        <v>1.7543859649122806E-2</v>
      </c>
      <c r="U18" s="949" t="str">
        <f>IF(T18=$W$10, "CUMPLIDA", "PENDIENTE")</f>
        <v>PENDIENTE</v>
      </c>
      <c r="V18" s="860" t="str">
        <f>IF(AND(T18=$W$10),$AB$9,$AB$10)</f>
        <v>HALLAZGO PENDIENTE DE CUMPLIMIENTO DE ACCION</v>
      </c>
      <c r="W18" s="513" t="s">
        <v>93</v>
      </c>
      <c r="X18" s="513">
        <f t="shared" si="3"/>
        <v>3</v>
      </c>
      <c r="Y18" s="862">
        <f>AVERAGE(X18:X20)</f>
        <v>2</v>
      </c>
      <c r="Z18" s="865" t="str">
        <f>IF(Y18=3,$AB$5,IF(Y18=0,$AB$7,$AB$6))</f>
        <v>ACCION(ES) PARCIALMENTE CUMPLIDA(S)</v>
      </c>
      <c r="AA18" s="865" t="str">
        <f>IF(Z18=$AB$5,$AB$5,IF(Z18=$AB$7,$AB$7,$AB$6))</f>
        <v>ACCION(ES) PARCIALMENTE CUMPLIDA(S)</v>
      </c>
      <c r="AB18" s="868" t="s">
        <v>475</v>
      </c>
      <c r="AC18" s="935" t="s">
        <v>100</v>
      </c>
      <c r="AD18" s="868" t="s">
        <v>476</v>
      </c>
      <c r="AE18" s="873" t="str">
        <f>IF(AND(AA18=$AB$5, AC18=$AC$5),$AD$5,IF(AND(AA18=$AB$6, AC18=$AC$7),$AD$7,IF(AND(AA18=$AB$5, AC18=$AC$7),$AD$7,$AD$6)))</f>
        <v>HALLAZGO PENDIENTE DE EVALUACION - Acciones no finalizadas, o acciones que siendo finalizadas, no se puede comprobar la efectividad en el periodo.</v>
      </c>
      <c r="AF18" s="950" t="s">
        <v>476</v>
      </c>
    </row>
    <row r="19" spans="1:32" s="27" customFormat="1" ht="65.25" customHeight="1" x14ac:dyDescent="0.2">
      <c r="A19" s="980"/>
      <c r="B19" s="899"/>
      <c r="C19" s="925"/>
      <c r="D19" s="923"/>
      <c r="E19" s="921"/>
      <c r="F19" s="259" t="str">
        <f>'1115-F02 Informe PM'!G18</f>
        <v xml:space="preserve">Documentar y adoptar las actualizaciones en los procedimientos y Manual de Políticas Contable del deteriro de Cuentas Cobrar </v>
      </c>
      <c r="G19" s="217" t="str">
        <f>'1115-F02 Informe PM'!H18</f>
        <v>Gestion Contable</v>
      </c>
      <c r="H19" s="217" t="str">
        <f>'1115-F02 Informe PM'!I18</f>
        <v>Documento</v>
      </c>
      <c r="I19" s="217">
        <f>'1115-F02 Informe PM'!J18</f>
        <v>1</v>
      </c>
      <c r="J19" s="218">
        <f>'1115-F02 Informe PM'!L18</f>
        <v>44316</v>
      </c>
      <c r="K19" s="367">
        <v>1</v>
      </c>
      <c r="L19" s="1172" t="str">
        <f t="shared" si="0"/>
        <v>Finalizada</v>
      </c>
      <c r="M19" s="1172" t="s">
        <v>526</v>
      </c>
      <c r="N19" s="952" t="s">
        <v>500</v>
      </c>
      <c r="O19" s="1004"/>
      <c r="P19" s="1004"/>
      <c r="Q19" s="1005"/>
      <c r="R19" s="36">
        <f t="shared" si="1"/>
        <v>1</v>
      </c>
      <c r="S19" s="28">
        <f t="shared" si="2"/>
        <v>0.33333333333333331</v>
      </c>
      <c r="T19" s="834"/>
      <c r="U19" s="942"/>
      <c r="V19" s="876"/>
      <c r="W19" s="515" t="s">
        <v>93</v>
      </c>
      <c r="X19" s="515">
        <f t="shared" si="3"/>
        <v>3</v>
      </c>
      <c r="Y19" s="864"/>
      <c r="Z19" s="866"/>
      <c r="AA19" s="866"/>
      <c r="AB19" s="869"/>
      <c r="AC19" s="936"/>
      <c r="AD19" s="869"/>
      <c r="AE19" s="874"/>
      <c r="AF19" s="857"/>
    </row>
    <row r="20" spans="1:32" s="27" customFormat="1" ht="63" customHeight="1" thickBot="1" x14ac:dyDescent="0.25">
      <c r="A20" s="981"/>
      <c r="B20" s="888"/>
      <c r="C20" s="886"/>
      <c r="D20" s="884"/>
      <c r="E20" s="882"/>
      <c r="F20" s="260" t="str">
        <f>'1115-F02 Informe PM'!G19</f>
        <v>Socializar Procedimiento establecido con las dependencias involucradas en el proceso del deterioro de cartera</v>
      </c>
      <c r="G20" s="215" t="str">
        <f>'1115-F02 Informe PM'!H19</f>
        <v>Gestion Contable</v>
      </c>
      <c r="H20" s="215" t="str">
        <f>'1115-F02 Informe PM'!I19</f>
        <v>Documento</v>
      </c>
      <c r="I20" s="215">
        <f>'1115-F02 Informe PM'!J19</f>
        <v>1</v>
      </c>
      <c r="J20" s="216">
        <f>'1115-F02 Informe PM'!L19</f>
        <v>44347</v>
      </c>
      <c r="K20" s="368">
        <v>0</v>
      </c>
      <c r="L20" s="1174" t="str">
        <f t="shared" si="0"/>
        <v xml:space="preserve">Vigente </v>
      </c>
      <c r="M20" s="1174" t="s">
        <v>526</v>
      </c>
      <c r="N20" s="957" t="s">
        <v>527</v>
      </c>
      <c r="O20" s="1021"/>
      <c r="P20" s="1021"/>
      <c r="Q20" s="1022"/>
      <c r="R20" s="48">
        <f t="shared" si="1"/>
        <v>0</v>
      </c>
      <c r="S20" s="49">
        <f t="shared" si="2"/>
        <v>0</v>
      </c>
      <c r="T20" s="847"/>
      <c r="U20" s="943"/>
      <c r="V20" s="890"/>
      <c r="W20" s="522"/>
      <c r="X20" s="522">
        <f t="shared" si="3"/>
        <v>0</v>
      </c>
      <c r="Y20" s="889"/>
      <c r="Z20" s="933"/>
      <c r="AA20" s="933"/>
      <c r="AB20" s="934"/>
      <c r="AC20" s="937"/>
      <c r="AD20" s="934"/>
      <c r="AE20" s="941"/>
      <c r="AF20" s="951"/>
    </row>
    <row r="21" spans="1:32" s="27" customFormat="1" ht="76.5" customHeight="1" x14ac:dyDescent="0.2">
      <c r="A21" s="922">
        <f>'1115-F02 Informe PM'!A20</f>
        <v>3</v>
      </c>
      <c r="B21" s="926" t="str">
        <f>'1115-F02 Informe PM'!B20</f>
        <v>03-2019</v>
      </c>
      <c r="C21" s="924" t="str">
        <f>'1115-F02 Informe PM'!C20</f>
        <v xml:space="preserve">HALLAZGO 3 ACTUALIZACIÓN DEL PLAN DE ACTIVOS
Contrario a la norma de actualización del plan de activos para beneficios posempleo, la Universidad Tecnológica de Pereira no registró en la cuenta 1904 el valor de los rendimientos financieros generados por la inversión en TES. 
La cuenta 1904 se encuentra subestimada en $2.200.000.000, toda vez que no se registró el valor de los rendimientos financieros generados por las inversiones que hacen parte del plan de activos, estos recursos quedaron excluidos del Plan de activos para beneficios posempleo, el cual es de destinación exclusiva para la atención de las obligaciones pensionales y no pueden destinarse a otro fin.
</v>
      </c>
      <c r="D21" s="922" t="str">
        <f>'1115-F02 Informe PM'!D20</f>
        <v>Debilidades de control y seguimiento en el procedimiento para el registro de los hechos económicos relacionados con el pasivo pensional y con los recursos que lo financian</v>
      </c>
      <c r="E21" s="920" t="str">
        <f>'1115-F02 Informe PM'!F20</f>
        <v>Socialización de la Norma de Beneficios Posempleo que define claramente el Manejo del Plan de Activos de la Universidad y su reconocimiento</v>
      </c>
      <c r="F21" s="261" t="str">
        <f>'1115-F02 Informe PM'!G20</f>
        <v>Realizar reunion con los involucrados con el manejo de la Inversión que soporta el Plan de Activos (Beneficios Posempleo de la Universidad)</v>
      </c>
      <c r="G21" s="248" t="str">
        <f>'1115-F02 Informe PM'!H20</f>
        <v>Gestion Contable</v>
      </c>
      <c r="H21" s="248" t="str">
        <f>'1115-F02 Informe PM'!I20</f>
        <v>Documento</v>
      </c>
      <c r="I21" s="248">
        <f>'1115-F02 Informe PM'!J20</f>
        <v>1</v>
      </c>
      <c r="J21" s="249">
        <f>'1115-F02 Informe PM'!L20</f>
        <v>44104</v>
      </c>
      <c r="K21" s="534">
        <v>1</v>
      </c>
      <c r="L21" s="1175" t="str">
        <f t="shared" si="0"/>
        <v>Finalizada</v>
      </c>
      <c r="M21" s="1175" t="s">
        <v>526</v>
      </c>
      <c r="N21" s="1050" t="s">
        <v>438</v>
      </c>
      <c r="O21" s="1050"/>
      <c r="P21" s="1050"/>
      <c r="Q21" s="1051"/>
      <c r="R21" s="35">
        <f>K21/I21</f>
        <v>1</v>
      </c>
      <c r="S21" s="26">
        <f>(R21)/2</f>
        <v>0.5</v>
      </c>
      <c r="T21" s="833">
        <f>(S21+S22)/$V$10</f>
        <v>2.6315789473684209E-2</v>
      </c>
      <c r="U21" s="877" t="str">
        <f>IF(T21=$W$10, "CUMPLIDA", "PENDIENTE")</f>
        <v>CUMPLIDA</v>
      </c>
      <c r="V21" s="860" t="str">
        <f>IF(AND(T21=$W$10),$AB$9,$AB$10)</f>
        <v>HALLAZGO CON ACCIONES CUMPLIDAS</v>
      </c>
      <c r="W21" s="513" t="s">
        <v>93</v>
      </c>
      <c r="X21" s="513">
        <f t="shared" si="3"/>
        <v>3</v>
      </c>
      <c r="Y21" s="862">
        <f>AVERAGE(X21:X22)</f>
        <v>3</v>
      </c>
      <c r="Z21" s="865" t="str">
        <f>IF(Y21=3,$AB$5, IF(OR(X21=0, X22=0),$AB$7,$AB$6))</f>
        <v xml:space="preserve">ACCION(ES) CUMPLIDA(S) </v>
      </c>
      <c r="AA21" s="865" t="str">
        <f>IF(Z21=$AB$5,$AB$5,IF(Z21=$AB$7,$AB$7,$AB$6))</f>
        <v xml:space="preserve">ACCION(ES) CUMPLIDA(S) </v>
      </c>
      <c r="AB21" s="868" t="s">
        <v>444</v>
      </c>
      <c r="AC21" s="935" t="s">
        <v>100</v>
      </c>
      <c r="AD21" s="868" t="s">
        <v>521</v>
      </c>
      <c r="AE21" s="873" t="str">
        <f>IF(AND(AA21=$AB$5, AC21=$AC$5),$AD$5,IF(AND(AA21=$AB$6, AC21=$AC$7),$AD$7,IF(AND(AA21=$AB$5, AC21=$AC$7),$AD$7,$AD$6)))</f>
        <v>HALLAZGO PENDIENTE DE EVALUACION - Acciones no finalizadas, o acciones que siendo finalizadas, no se puede comprobar la efectividad en el periodo.</v>
      </c>
      <c r="AF21" s="950" t="s">
        <v>476</v>
      </c>
    </row>
    <row r="22" spans="1:32" s="27" customFormat="1" ht="117" customHeight="1" thickBot="1" x14ac:dyDescent="0.25">
      <c r="A22" s="939"/>
      <c r="B22" s="900"/>
      <c r="C22" s="938"/>
      <c r="D22" s="939"/>
      <c r="E22" s="940"/>
      <c r="F22" s="272" t="str">
        <f>'1115-F02 Informe PM'!G21</f>
        <v>Ajustar  la cuenta 190401 para que el ingreso de los rendimientos de los  TES que respaldan el plan de activos cumpla con la norma establecida.</v>
      </c>
      <c r="G22" s="250" t="str">
        <f>'1115-F02 Informe PM'!H21</f>
        <v>Gestion Contable</v>
      </c>
      <c r="H22" s="250" t="str">
        <f>'1115-F02 Informe PM'!I21</f>
        <v>Documento</v>
      </c>
      <c r="I22" s="250">
        <f>'1115-F02 Informe PM'!J21</f>
        <v>1</v>
      </c>
      <c r="J22" s="251">
        <f>'1115-F02 Informe PM'!L21</f>
        <v>44104</v>
      </c>
      <c r="K22" s="532">
        <v>1</v>
      </c>
      <c r="L22" s="1173" t="str">
        <f t="shared" si="0"/>
        <v>Finalizada</v>
      </c>
      <c r="M22" s="1174" t="s">
        <v>526</v>
      </c>
      <c r="N22" s="1012" t="s">
        <v>431</v>
      </c>
      <c r="O22" s="1012"/>
      <c r="P22" s="1012"/>
      <c r="Q22" s="1013"/>
      <c r="R22" s="48">
        <f t="shared" si="1"/>
        <v>1</v>
      </c>
      <c r="S22" s="49">
        <f>(R22)/2</f>
        <v>0.5</v>
      </c>
      <c r="T22" s="847"/>
      <c r="U22" s="879"/>
      <c r="V22" s="890"/>
      <c r="W22" s="522" t="s">
        <v>93</v>
      </c>
      <c r="X22" s="522">
        <f t="shared" si="3"/>
        <v>3</v>
      </c>
      <c r="Y22" s="889"/>
      <c r="Z22" s="933"/>
      <c r="AA22" s="933"/>
      <c r="AB22" s="934"/>
      <c r="AC22" s="937"/>
      <c r="AD22" s="934"/>
      <c r="AE22" s="941"/>
      <c r="AF22" s="951"/>
    </row>
    <row r="23" spans="1:32" s="27" customFormat="1" ht="159.75" customHeight="1" x14ac:dyDescent="0.2">
      <c r="A23" s="883">
        <f>'1115-F02 Informe PM'!A22</f>
        <v>4</v>
      </c>
      <c r="B23" s="887" t="str">
        <f>'1115-F02 Informe PM'!B22</f>
        <v>04-2019</v>
      </c>
      <c r="C23" s="885" t="str">
        <f>'1115-F02 Informe PM'!C22</f>
        <v>HALLAZGO 4 AMORTIZACIÓN ACTIVOS INTANGIBLES
Incumpliendo lo anterior, la Universidad Tecnológica de Pereira, durante la vigencia 2019, realizó medición posterior inadecuada de las licencias y software que hacen parte de los activos intangibles, calculando la amortización con una vida útil de 1080 días (3 años) para todos los activos, sin tener en cuenta los términos particulares de duración de cada licencia establecidos en los contratos, reconociendo un menor valor en la cuenta 197507 licencias por $496.300.145; adicionalmente fueron amortizados en la vigencia, dos software que se encontraban en desarrollo y que fueron trasladados en el mes de diciembre, mediante ajuste contable, a la cuenta 197010 Activos intangibles en fase de desarrollo,  los cuales no debían ser objeto de amortización, puesto que no se obtuvieron beneficios económicos de estos durante el 2019, dando como resultado un mayor valor en la cuenta 197508 software por $6.645.716. Las diferencias se detallan (ver tabla 10 Informe)</v>
      </c>
      <c r="D23" s="883" t="str">
        <f>'1115-F02 Informe PM'!D22</f>
        <v>Falta de un inventario detallado de todos los activos intangibles que se encuentran en uso, donde se identifique su costo y vida útil el cual sea insumo para el proceso contable; así mismo por debilidades de control interno contable relacionadas con las estimaciones</v>
      </c>
      <c r="E23" s="520" t="str">
        <f>'1115-F02 Informe PM'!F22</f>
        <v xml:space="preserve"> Revisión de las Politicas Contables establecidas relacionadas con los activos intangibles y su amortización </v>
      </c>
      <c r="F23" s="258" t="str">
        <f>'1115-F02 Informe PM'!G22</f>
        <v>Revisar y ajustar el Manual de Polticas contables en relación al tratamiento contable de los activos intangibles de acuerdo a la norma.</v>
      </c>
      <c r="G23" s="213" t="str">
        <f>'1115-F02 Informe PM'!H22</f>
        <v>Gestion Contable</v>
      </c>
      <c r="H23" s="213" t="str">
        <f>'1115-F02 Informe PM'!I22</f>
        <v>Documento</v>
      </c>
      <c r="I23" s="213">
        <f>'1115-F02 Informe PM'!J22</f>
        <v>1</v>
      </c>
      <c r="J23" s="214">
        <f>'1115-F02 Informe PM'!L22</f>
        <v>44135</v>
      </c>
      <c r="K23" s="530">
        <v>1</v>
      </c>
      <c r="L23" s="1171" t="str">
        <f t="shared" si="0"/>
        <v>Finalizada</v>
      </c>
      <c r="M23" s="1175" t="s">
        <v>526</v>
      </c>
      <c r="N23" s="1077" t="s">
        <v>462</v>
      </c>
      <c r="O23" s="960"/>
      <c r="P23" s="960"/>
      <c r="Q23" s="961"/>
      <c r="R23" s="35">
        <f t="shared" si="1"/>
        <v>1</v>
      </c>
      <c r="S23" s="26">
        <f>(R23)/1</f>
        <v>1</v>
      </c>
      <c r="T23" s="39">
        <f>(S23)/$V$10</f>
        <v>2.6315789473684209E-2</v>
      </c>
      <c r="U23" s="518" t="str">
        <f>IF(T23=$W$10, "CUMPLIDA", "PENDIENTE")</f>
        <v>CUMPLIDA</v>
      </c>
      <c r="V23" s="860" t="str">
        <f>IF(AND(T23=$W$10, T24=$W$10,T26=$W$10),$AB$9,$AB$10)</f>
        <v>HALLAZGO CON ACCIONES CUMPLIDAS</v>
      </c>
      <c r="W23" s="513" t="s">
        <v>93</v>
      </c>
      <c r="X23" s="513">
        <f t="shared" si="3"/>
        <v>3</v>
      </c>
      <c r="Y23" s="513">
        <f>AVERAGE(X23)</f>
        <v>3</v>
      </c>
      <c r="Z23" s="516" t="str">
        <f>IF(Y23=3,$AB$5, IF(OR(X23=0),$AB$7,$AB$6))</f>
        <v xml:space="preserve">ACCION(ES) CUMPLIDA(S) </v>
      </c>
      <c r="AA23" s="865" t="str">
        <f>IF(AND(Z23=$AB$5,Z24=$AB$5,Z26=$AB$5),$AB$5,IF(OR(Z23=$AB$7, Z24=$AB$7, Z26=$AB$7),$AB$7,$AB$6))</f>
        <v xml:space="preserve">ACCION(ES) CUMPLIDA(S) </v>
      </c>
      <c r="AB23" s="510" t="s">
        <v>478</v>
      </c>
      <c r="AC23" s="935" t="s">
        <v>100</v>
      </c>
      <c r="AD23" s="1124" t="s">
        <v>522</v>
      </c>
      <c r="AE23" s="873" t="str">
        <f>IF(AND(AA23=$AB$5, AC23=$AC$5),$AD$5,IF(AND(AA23=$AB$6, AC23=$AC$7),$AD$7,IF(AND(AA23=$AB$5, AC23=$AC$7),$AD$7,$AD$6)))</f>
        <v>HALLAZGO PENDIENTE DE EVALUACION - Acciones no finalizadas, o acciones que siendo finalizadas, no se puede comprobar la efectividad en el periodo.</v>
      </c>
      <c r="AF23" s="950"/>
    </row>
    <row r="24" spans="1:32" s="27" customFormat="1" ht="121.5" customHeight="1" x14ac:dyDescent="0.2">
      <c r="A24" s="923"/>
      <c r="B24" s="899"/>
      <c r="C24" s="925"/>
      <c r="D24" s="923"/>
      <c r="E24" s="921" t="str">
        <f>'1115-F02 Informe PM'!F23</f>
        <v>Diseño de un formato para control del inventario de los Activos Intangibles de la Universidad.</v>
      </c>
      <c r="F24" s="259" t="str">
        <f>'1115-F02 Informe PM'!G23</f>
        <v xml:space="preserve">Establecer formato para  el control del inventario de los Activos Intangibles </v>
      </c>
      <c r="G24" s="217" t="str">
        <f>'1115-F02 Informe PM'!H23</f>
        <v>Gestion Contable</v>
      </c>
      <c r="H24" s="217" t="str">
        <f>'1115-F02 Informe PM'!I23</f>
        <v>Documento</v>
      </c>
      <c r="I24" s="217">
        <f>'1115-F02 Informe PM'!J23</f>
        <v>1</v>
      </c>
      <c r="J24" s="218">
        <f>'1115-F02 Informe PM'!L23</f>
        <v>44165</v>
      </c>
      <c r="K24" s="531">
        <v>1</v>
      </c>
      <c r="L24" s="1172" t="str">
        <f t="shared" si="0"/>
        <v>Finalizada</v>
      </c>
      <c r="M24" s="1175" t="s">
        <v>526</v>
      </c>
      <c r="N24" s="965" t="s">
        <v>463</v>
      </c>
      <c r="O24" s="954"/>
      <c r="P24" s="954"/>
      <c r="Q24" s="955"/>
      <c r="R24" s="36">
        <f>K24/I24</f>
        <v>1</v>
      </c>
      <c r="S24" s="28">
        <f>(R24)/2</f>
        <v>0.5</v>
      </c>
      <c r="T24" s="834">
        <f>(S24+S25)/$V$10</f>
        <v>2.6315789473684209E-2</v>
      </c>
      <c r="U24" s="878" t="str">
        <f>IF(T24=$W$10, "CUMPLIDA", "PENDIENTE")</f>
        <v>CUMPLIDA</v>
      </c>
      <c r="V24" s="876"/>
      <c r="W24" s="515" t="s">
        <v>93</v>
      </c>
      <c r="X24" s="515">
        <f t="shared" si="3"/>
        <v>3</v>
      </c>
      <c r="Y24" s="864">
        <f>AVERAGE(X24:X25)</f>
        <v>3</v>
      </c>
      <c r="Z24" s="866" t="str">
        <f>IF(Y24=3,$AB$5, IF(OR(X24=0, X25=0),$AB$7,$AB$6))</f>
        <v xml:space="preserve">ACCION(ES) CUMPLIDA(S) </v>
      </c>
      <c r="AA24" s="866"/>
      <c r="AB24" s="934" t="s">
        <v>510</v>
      </c>
      <c r="AC24" s="936"/>
      <c r="AD24" s="1125"/>
      <c r="AE24" s="874"/>
      <c r="AF24" s="857"/>
    </row>
    <row r="25" spans="1:32" s="27" customFormat="1" ht="51" customHeight="1" x14ac:dyDescent="0.2">
      <c r="A25" s="923"/>
      <c r="B25" s="899"/>
      <c r="C25" s="925"/>
      <c r="D25" s="923"/>
      <c r="E25" s="921"/>
      <c r="F25" s="259" t="str">
        <f>'1115-F02 Informe PM'!G24</f>
        <v>Implementar formato de control del inventario de los Activos Intangibles con las areas implicadas en el proceso.</v>
      </c>
      <c r="G25" s="217" t="str">
        <f>'1115-F02 Informe PM'!H24</f>
        <v>Gestion Contable</v>
      </c>
      <c r="H25" s="217" t="str">
        <f>'1115-F02 Informe PM'!I24</f>
        <v>Documento</v>
      </c>
      <c r="I25" s="217">
        <f>'1115-F02 Informe PM'!J24</f>
        <v>1</v>
      </c>
      <c r="J25" s="218">
        <f>'1115-F02 Informe PM'!L24</f>
        <v>44255</v>
      </c>
      <c r="K25" s="367">
        <v>1</v>
      </c>
      <c r="L25" s="1172" t="str">
        <f t="shared" si="0"/>
        <v>Finalizada</v>
      </c>
      <c r="M25" s="1175" t="s">
        <v>526</v>
      </c>
      <c r="N25" s="952" t="s">
        <v>508</v>
      </c>
      <c r="O25" s="977"/>
      <c r="P25" s="977"/>
      <c r="Q25" s="978"/>
      <c r="R25" s="36">
        <f t="shared" si="1"/>
        <v>1</v>
      </c>
      <c r="S25" s="28">
        <f>(R25)/2</f>
        <v>0.5</v>
      </c>
      <c r="T25" s="834"/>
      <c r="U25" s="878"/>
      <c r="V25" s="876"/>
      <c r="W25" s="515" t="s">
        <v>93</v>
      </c>
      <c r="X25" s="515">
        <f t="shared" si="3"/>
        <v>3</v>
      </c>
      <c r="Y25" s="864"/>
      <c r="Z25" s="866"/>
      <c r="AA25" s="866"/>
      <c r="AB25" s="1003"/>
      <c r="AC25" s="936"/>
      <c r="AD25" s="1125"/>
      <c r="AE25" s="874"/>
      <c r="AF25" s="857"/>
    </row>
    <row r="26" spans="1:32" s="27" customFormat="1" ht="69" customHeight="1" thickBot="1" x14ac:dyDescent="0.25">
      <c r="A26" s="884"/>
      <c r="B26" s="888"/>
      <c r="C26" s="886"/>
      <c r="D26" s="884"/>
      <c r="E26" s="521" t="str">
        <f>'1115-F02 Informe PM'!F25</f>
        <v>Ajuste de la cuenta contable de la Amortización de los Activos Intangibles.</v>
      </c>
      <c r="F26" s="260" t="str">
        <f>'1115-F02 Informe PM'!G25</f>
        <v>Ajustar la amortizacion de los Activos Intangibles de acuerdo a la vida útil.</v>
      </c>
      <c r="G26" s="215" t="str">
        <f>'1115-F02 Informe PM'!H25</f>
        <v>Gestion Contable</v>
      </c>
      <c r="H26" s="215" t="str">
        <f>'1115-F02 Informe PM'!I25</f>
        <v>Documento</v>
      </c>
      <c r="I26" s="215">
        <f>'1115-F02 Informe PM'!J25</f>
        <v>1</v>
      </c>
      <c r="J26" s="216">
        <f>'1115-F02 Informe PM'!L25</f>
        <v>44196</v>
      </c>
      <c r="K26" s="533">
        <v>1</v>
      </c>
      <c r="L26" s="1174" t="str">
        <f t="shared" si="0"/>
        <v>Finalizada</v>
      </c>
      <c r="M26" s="1174" t="s">
        <v>526</v>
      </c>
      <c r="N26" s="996" t="s">
        <v>464</v>
      </c>
      <c r="O26" s="996"/>
      <c r="P26" s="996"/>
      <c r="Q26" s="1078"/>
      <c r="R26" s="48">
        <f t="shared" si="1"/>
        <v>1</v>
      </c>
      <c r="S26" s="49">
        <f>(R26)/1</f>
        <v>1</v>
      </c>
      <c r="T26" s="150">
        <f>(S26)/$V$10</f>
        <v>2.6315789473684209E-2</v>
      </c>
      <c r="U26" s="526" t="str">
        <f>IF(T26=$W$10, "CUMPLIDA", "PENDIENTE")</f>
        <v>CUMPLIDA</v>
      </c>
      <c r="V26" s="890"/>
      <c r="W26" s="522" t="s">
        <v>93</v>
      </c>
      <c r="X26" s="522">
        <f t="shared" si="3"/>
        <v>3</v>
      </c>
      <c r="Y26" s="522">
        <f>AVERAGE(X26)</f>
        <v>3</v>
      </c>
      <c r="Z26" s="525" t="str">
        <f>IF(Y26=3,$AB$5, IF(OR(X26=0),$AB$7,$AB$6))</f>
        <v xml:space="preserve">ACCION(ES) CUMPLIDA(S) </v>
      </c>
      <c r="AA26" s="933"/>
      <c r="AB26" s="511" t="s">
        <v>479</v>
      </c>
      <c r="AC26" s="937"/>
      <c r="AD26" s="1126"/>
      <c r="AE26" s="941"/>
      <c r="AF26" s="951"/>
    </row>
    <row r="27" spans="1:32" s="27" customFormat="1" ht="51.75" customHeight="1" x14ac:dyDescent="0.2">
      <c r="A27" s="979">
        <f>'1115-F02 Informe PM'!A26</f>
        <v>5</v>
      </c>
      <c r="B27" s="926" t="str">
        <f>'1115-F02 Informe PM'!B26</f>
        <v>05-2019</v>
      </c>
      <c r="C27" s="924" t="str">
        <f>'1115-F02 Informe PM'!C26</f>
        <v>HALLAZGO 5 OPERACIONES RECÍPROCAS MEN 
Contrario a las normas citadas, la Universidad Tecnológica de Pereira, presentó diferencia por $248.579.266, entre el saldo contable a diciembre 31 de 2019 de la cuenta 4428 OTRAS TRANSFERENCIAS y el valor reportado por el Ministerio de Educación Nacional en el informe de operaciones recíprocas de la Contaduría General de la Nación, tratándose de una transferencia para pensiones de la vigencia anterior, que no fue reconocida en dicha vigencia. 
La subcuenta 442801 Pensiones, presentó diferencia por $20.471.010, según nota de contabilidad 118 del 30 de abril de 2019; la diferencia por $2.199.763.510, presentada en el código 442803 funcionamiento, corresponde a error en la clasificación contable según notas de contabilidad 398 del 04 de octubre de 2019 por $1.971.655.254 que debía ser registrada en la cuenta 442805 Programas de educación y 190 del 7 de junio de 2019 por $228.108.256, que correspondía a transferencia para pensiones, tal como se detalla a continuación (Ver tabla 11 Informe)</v>
      </c>
      <c r="D27" s="922" t="str">
        <f>'1115-F02 Informe PM'!D26</f>
        <v>Debilidades de control en la conciliación de operaciones reciprocas</v>
      </c>
      <c r="E27" s="920" t="str">
        <f>'1115-F02 Informe PM'!F26</f>
        <v>Revisión del Procedimiento  establecido para la conciliación de Operaciones Reciprocas</v>
      </c>
      <c r="F27" s="261" t="str">
        <f>'1115-F02 Informe PM'!G26</f>
        <v>Analizar los procedimientos y Manual de Politicas establecidos para la Conciliación de Operacines Reciprocas</v>
      </c>
      <c r="G27" s="248" t="str">
        <f>'1115-F02 Informe PM'!H26</f>
        <v>Gestion Contable</v>
      </c>
      <c r="H27" s="248" t="str">
        <f>'1115-F02 Informe PM'!I26</f>
        <v>Documento</v>
      </c>
      <c r="I27" s="248">
        <f>'1115-F02 Informe PM'!J26</f>
        <v>1</v>
      </c>
      <c r="J27" s="249">
        <f>'1115-F02 Informe PM'!L26</f>
        <v>44255</v>
      </c>
      <c r="K27" s="369">
        <v>1</v>
      </c>
      <c r="L27" s="1175" t="str">
        <f t="shared" si="0"/>
        <v>Finalizada</v>
      </c>
      <c r="M27" s="1175" t="s">
        <v>526</v>
      </c>
      <c r="N27" s="1079" t="s">
        <v>503</v>
      </c>
      <c r="O27" s="1080"/>
      <c r="P27" s="1080"/>
      <c r="Q27" s="1081"/>
      <c r="R27" s="35">
        <f t="shared" si="1"/>
        <v>1</v>
      </c>
      <c r="S27" s="26">
        <f t="shared" si="2"/>
        <v>0.33333333333333331</v>
      </c>
      <c r="T27" s="833">
        <f>(S27+S28+S29)/$V$10</f>
        <v>1.7543859649122806E-2</v>
      </c>
      <c r="U27" s="949" t="str">
        <f>IF(T27=$W$10, "CUMPLIDA", "PENDIENTE")</f>
        <v>PENDIENTE</v>
      </c>
      <c r="V27" s="860" t="str">
        <f>IF(AND(T27=$W$10, T30=$W$10),$AB$9,$AB$10)</f>
        <v>HALLAZGO PENDIENTE DE CUMPLIMIENTO DE ACCION</v>
      </c>
      <c r="W27" s="513" t="s">
        <v>93</v>
      </c>
      <c r="X27" s="513">
        <f t="shared" si="3"/>
        <v>3</v>
      </c>
      <c r="Y27" s="862">
        <f>AVERAGEA(X27:X29)</f>
        <v>2.6666666666666665</v>
      </c>
      <c r="Z27" s="865" t="str">
        <f>IF(Y27=3,$AB$5,IF(Y27=0,$AB$7,$AB$6))</f>
        <v>ACCION(ES) PARCIALMENTE CUMPLIDA(S)</v>
      </c>
      <c r="AA27" s="865" t="str">
        <f>IF(AND(Z27=$AB$5,Z30=$AB$5),$AB$5,IF(OR(AND(Z27=$AB$5,Z30=$AB$7),AND(Z27=$AB$7,Z30=$AB$5)),$AB$7,$AB$6))</f>
        <v>ACCION(ES) PARCIALMENTE CUMPLIDA(S)</v>
      </c>
      <c r="AB27" s="868" t="s">
        <v>475</v>
      </c>
      <c r="AC27" s="935" t="s">
        <v>100</v>
      </c>
      <c r="AD27" s="868" t="s">
        <v>476</v>
      </c>
      <c r="AE27" s="873" t="str">
        <f>IF(AND(AA27=$AB$5, AC27=$AC$5),$AD$5,IF(AND(AA27=$AB$6, AC27=$AC$7),$AD$7,IF(AND(AA27=$AB$5, AC27=$AC$7),$AD$7,$AD$6)))</f>
        <v>HALLAZGO PENDIENTE DE EVALUACION - Acciones no finalizadas, o acciones que siendo finalizadas, no se puede comprobar la efectividad en el periodo.</v>
      </c>
      <c r="AF27" s="950"/>
    </row>
    <row r="28" spans="1:32" s="27" customFormat="1" ht="60" x14ac:dyDescent="0.2">
      <c r="A28" s="980"/>
      <c r="B28" s="899"/>
      <c r="C28" s="925"/>
      <c r="D28" s="923"/>
      <c r="E28" s="921"/>
      <c r="F28" s="259" t="str">
        <f>'1115-F02 Informe PM'!G27</f>
        <v xml:space="preserve">Documentar y adoptar las actualizaciones en los procedimientos y Manual de Políticas Contable de las Operaciones Reciprocas </v>
      </c>
      <c r="G28" s="217" t="str">
        <f>'1115-F02 Informe PM'!H27</f>
        <v>Gestion Contable</v>
      </c>
      <c r="H28" s="217" t="str">
        <f>'1115-F02 Informe PM'!I27</f>
        <v>Documento</v>
      </c>
      <c r="I28" s="217">
        <f>'1115-F02 Informe PM'!J27</f>
        <v>1</v>
      </c>
      <c r="J28" s="218">
        <f>'1115-F02 Informe PM'!L27</f>
        <v>44316</v>
      </c>
      <c r="K28" s="367">
        <v>1</v>
      </c>
      <c r="L28" s="1172" t="str">
        <f t="shared" si="0"/>
        <v>Finalizada</v>
      </c>
      <c r="M28" s="1175" t="s">
        <v>526</v>
      </c>
      <c r="N28" s="952" t="s">
        <v>502</v>
      </c>
      <c r="O28" s="977"/>
      <c r="P28" s="977"/>
      <c r="Q28" s="978"/>
      <c r="R28" s="36">
        <f t="shared" si="1"/>
        <v>1</v>
      </c>
      <c r="S28" s="28">
        <f t="shared" si="2"/>
        <v>0.33333333333333331</v>
      </c>
      <c r="T28" s="834"/>
      <c r="U28" s="942"/>
      <c r="V28" s="876"/>
      <c r="W28" s="515" t="s">
        <v>93</v>
      </c>
      <c r="X28" s="515">
        <f t="shared" si="3"/>
        <v>3</v>
      </c>
      <c r="Y28" s="864"/>
      <c r="Z28" s="866"/>
      <c r="AA28" s="866"/>
      <c r="AB28" s="869"/>
      <c r="AC28" s="936"/>
      <c r="AD28" s="869"/>
      <c r="AE28" s="874"/>
      <c r="AF28" s="857"/>
    </row>
    <row r="29" spans="1:32" s="27" customFormat="1" ht="36" x14ac:dyDescent="0.2">
      <c r="A29" s="980"/>
      <c r="B29" s="899"/>
      <c r="C29" s="925"/>
      <c r="D29" s="923"/>
      <c r="E29" s="921"/>
      <c r="F29" s="259" t="str">
        <f>'1115-F02 Informe PM'!G28</f>
        <v>Socializar Procedimiento establecido con el grupo de trabajo</v>
      </c>
      <c r="G29" s="217" t="str">
        <f>'1115-F02 Informe PM'!H28</f>
        <v>Gestion Contable</v>
      </c>
      <c r="H29" s="217" t="str">
        <f>'1115-F02 Informe PM'!I28</f>
        <v>Documento</v>
      </c>
      <c r="I29" s="217">
        <f>'1115-F02 Informe PM'!J28</f>
        <v>1</v>
      </c>
      <c r="J29" s="218">
        <f>'1115-F02 Informe PM'!L28</f>
        <v>44347</v>
      </c>
      <c r="K29" s="367">
        <v>0</v>
      </c>
      <c r="L29" s="1172" t="str">
        <f t="shared" si="0"/>
        <v xml:space="preserve">Vigente </v>
      </c>
      <c r="M29" s="1175" t="s">
        <v>526</v>
      </c>
      <c r="N29" s="977" t="s">
        <v>527</v>
      </c>
      <c r="O29" s="977"/>
      <c r="P29" s="977"/>
      <c r="Q29" s="978"/>
      <c r="R29" s="36">
        <f t="shared" si="1"/>
        <v>0</v>
      </c>
      <c r="S29" s="28">
        <f t="shared" si="2"/>
        <v>0</v>
      </c>
      <c r="T29" s="834"/>
      <c r="U29" s="942"/>
      <c r="V29" s="876"/>
      <c r="W29" s="515" t="s">
        <v>94</v>
      </c>
      <c r="X29" s="515">
        <f t="shared" si="3"/>
        <v>2</v>
      </c>
      <c r="Y29" s="864"/>
      <c r="Z29" s="933"/>
      <c r="AA29" s="866"/>
      <c r="AB29" s="869"/>
      <c r="AC29" s="936"/>
      <c r="AD29" s="869"/>
      <c r="AE29" s="874"/>
      <c r="AF29" s="857"/>
    </row>
    <row r="30" spans="1:32" s="27" customFormat="1" ht="36" x14ac:dyDescent="0.2">
      <c r="A30" s="980"/>
      <c r="B30" s="899"/>
      <c r="C30" s="925"/>
      <c r="D30" s="923"/>
      <c r="E30" s="921" t="str">
        <f>'1115-F02 Informe PM'!F29</f>
        <v xml:space="preserve">  Circularización con las entidades con las cuales se  tienen Operaciones Recíprocas </v>
      </c>
      <c r="F30" s="259" t="str">
        <f>'1115-F02 Informe PM'!G29</f>
        <v xml:space="preserve">Circularizar con las entidades con las cuales se  tienen Operaciones Recíprocas </v>
      </c>
      <c r="G30" s="217" t="str">
        <f>'1115-F02 Informe PM'!H29</f>
        <v>Gestion Contable</v>
      </c>
      <c r="H30" s="217" t="str">
        <f>'1115-F02 Informe PM'!I29</f>
        <v>Documento</v>
      </c>
      <c r="I30" s="217">
        <f>'1115-F02 Informe PM'!J29</f>
        <v>3</v>
      </c>
      <c r="J30" s="218">
        <f>'1115-F02 Informe PM'!L29</f>
        <v>44316</v>
      </c>
      <c r="K30" s="367">
        <v>0</v>
      </c>
      <c r="L30" s="1172" t="str">
        <f t="shared" si="0"/>
        <v xml:space="preserve">Vigente </v>
      </c>
      <c r="M30" s="1175" t="s">
        <v>526</v>
      </c>
      <c r="N30" s="977" t="s">
        <v>527</v>
      </c>
      <c r="O30" s="977"/>
      <c r="P30" s="977"/>
      <c r="Q30" s="978"/>
      <c r="R30" s="36">
        <f t="shared" si="1"/>
        <v>0</v>
      </c>
      <c r="S30" s="28">
        <f>(R30)/2</f>
        <v>0</v>
      </c>
      <c r="T30" s="834">
        <f>(S30+S31)/$V$10</f>
        <v>0</v>
      </c>
      <c r="U30" s="942" t="str">
        <f>IF(T30=$W$10, "CUMPLIDA", "PENDIENTE")</f>
        <v>PENDIENTE</v>
      </c>
      <c r="V30" s="876"/>
      <c r="W30" s="515" t="s">
        <v>94</v>
      </c>
      <c r="X30" s="515">
        <f t="shared" si="3"/>
        <v>2</v>
      </c>
      <c r="Y30" s="864">
        <f>AVERAGEA(X30:X31)</f>
        <v>1</v>
      </c>
      <c r="Z30" s="866" t="str">
        <f>IF(Y30=3,$AB$5, IF(Y30=0,$AB$7,$AB$6))</f>
        <v>ACCION(ES) PARCIALMENTE CUMPLIDA(S)</v>
      </c>
      <c r="AA30" s="866"/>
      <c r="AB30" s="869"/>
      <c r="AC30" s="936"/>
      <c r="AD30" s="869"/>
      <c r="AE30" s="874"/>
      <c r="AF30" s="857"/>
    </row>
    <row r="31" spans="1:32" s="27" customFormat="1" ht="36.75" thickBot="1" x14ac:dyDescent="0.25">
      <c r="A31" s="981"/>
      <c r="B31" s="888"/>
      <c r="C31" s="886"/>
      <c r="D31" s="884"/>
      <c r="E31" s="882"/>
      <c r="F31" s="260" t="str">
        <f>'1115-F02 Informe PM'!G30</f>
        <v xml:space="preserve">Seguimiento a la circularización realizada  con las entidades reportadas </v>
      </c>
      <c r="G31" s="215" t="str">
        <f>'1115-F02 Informe PM'!H30</f>
        <v>Gestion Contable</v>
      </c>
      <c r="H31" s="215" t="str">
        <f>'1115-F02 Informe PM'!I30</f>
        <v>Documento</v>
      </c>
      <c r="I31" s="215">
        <f>'1115-F02 Informe PM'!J30</f>
        <v>3</v>
      </c>
      <c r="J31" s="216">
        <f>'1115-F02 Informe PM'!L30</f>
        <v>44316</v>
      </c>
      <c r="K31" s="368">
        <v>0</v>
      </c>
      <c r="L31" s="1174" t="str">
        <f t="shared" si="0"/>
        <v xml:space="preserve">Vigente </v>
      </c>
      <c r="M31" s="1174" t="s">
        <v>526</v>
      </c>
      <c r="N31" s="957" t="s">
        <v>527</v>
      </c>
      <c r="O31" s="957"/>
      <c r="P31" s="957"/>
      <c r="Q31" s="958"/>
      <c r="R31" s="48">
        <f t="shared" si="1"/>
        <v>0</v>
      </c>
      <c r="S31" s="49">
        <f>(R31)/2</f>
        <v>0</v>
      </c>
      <c r="T31" s="847"/>
      <c r="U31" s="943"/>
      <c r="V31" s="890"/>
      <c r="W31" s="522"/>
      <c r="X31" s="522">
        <f t="shared" si="3"/>
        <v>0</v>
      </c>
      <c r="Y31" s="889"/>
      <c r="Z31" s="933"/>
      <c r="AA31" s="933"/>
      <c r="AB31" s="934"/>
      <c r="AC31" s="937"/>
      <c r="AD31" s="934"/>
      <c r="AE31" s="941"/>
      <c r="AF31" s="951"/>
    </row>
    <row r="32" spans="1:32" s="27" customFormat="1" ht="73.5" customHeight="1" x14ac:dyDescent="0.2">
      <c r="A32" s="922">
        <f>'1115-F02 Informe PM'!A31</f>
        <v>6</v>
      </c>
      <c r="B32" s="926" t="str">
        <f>'1115-F02 Informe PM'!B31</f>
        <v>06-2019</v>
      </c>
      <c r="C32" s="924" t="str">
        <f>'1115-F02 Informe PM'!C31</f>
        <v>HALLAZGO 6 DERECHOS POR COBRAR PENSIONES 
Contrario a las normas citadas, la Universidad Tecnológica de Pereira registró las transferencias del Ministerio de Educación Nacional para pensiones de la vigencia 2019 por $1.615.236.239, en la cuenta 442801 transferencias para pensiones, debiendo ser acreditada la subcuenta 190408-Derechos por cobrar-Concurrencia para el pago de pensiones de la cuenta 1904-PLAN DE ACTIVOS PARA BENEFICIOS POSEMPLEO, con el fin de amortizar los derechos por cobrar correspondientes a la concurrencia.
Así mismo, no reconoció en la subcuenta 190408 Derechos por cobrar, la concurrencia pensional a cargo del Ministerio de Educación Nacional, tratándose de derechos que hacen parte integral del plan de activos para financiar el pasivo pensional por $70.323.601.096, según saldo de la cuenta 2514.</v>
      </c>
      <c r="D32" s="922" t="str">
        <f>'1115-F02 Informe PM'!D31</f>
        <v>Debilidades de control en la transición efectuada al nuevo marco normativo en la vigencia anterior y por error en la aplicación del procedimiento establecido por la CGN para el manejo del pasivo pensional</v>
      </c>
      <c r="E32" s="920" t="str">
        <f>'1115-F02 Informe PM'!F31</f>
        <v>Verificación de la contabilizacion de la concurrencia para el pago del pasivo pensional de acuerdo a la norma establecida</v>
      </c>
      <c r="F32" s="261" t="str">
        <f>'1115-F02 Informe PM'!G31</f>
        <v>Consultar a la Contaduría General de la Nacional si la universidad esta obligada a reconocer concurrencia pensional.</v>
      </c>
      <c r="G32" s="248" t="str">
        <f>'1115-F02 Informe PM'!H31</f>
        <v xml:space="preserve">Gestión Financiera </v>
      </c>
      <c r="H32" s="248" t="str">
        <f>'1115-F02 Informe PM'!I31</f>
        <v>Documento</v>
      </c>
      <c r="I32" s="248">
        <f>'1115-F02 Informe PM'!J31</f>
        <v>1</v>
      </c>
      <c r="J32" s="249">
        <f>'1115-F02 Informe PM'!L31</f>
        <v>44104</v>
      </c>
      <c r="K32" s="534">
        <v>1</v>
      </c>
      <c r="L32" s="1175" t="str">
        <f t="shared" si="0"/>
        <v>Finalizada</v>
      </c>
      <c r="M32" s="1175" t="s">
        <v>526</v>
      </c>
      <c r="N32" s="1050" t="s">
        <v>426</v>
      </c>
      <c r="O32" s="1050"/>
      <c r="P32" s="1050"/>
      <c r="Q32" s="1051"/>
      <c r="R32" s="35">
        <f t="shared" si="1"/>
        <v>1</v>
      </c>
      <c r="S32" s="26">
        <f t="shared" si="2"/>
        <v>0.33333333333333331</v>
      </c>
      <c r="T32" s="833">
        <f>(S32+S33+S34)/$V$10</f>
        <v>2.6315789473684209E-2</v>
      </c>
      <c r="U32" s="877" t="str">
        <f>IF(T32=$W$10, "CUMPLIDA", "PENDIENTE")</f>
        <v>CUMPLIDA</v>
      </c>
      <c r="V32" s="860" t="str">
        <f>IF(AND(T32=$W$10),$AB$9,$AB$10)</f>
        <v>HALLAZGO CON ACCIONES CUMPLIDAS</v>
      </c>
      <c r="W32" s="513" t="s">
        <v>93</v>
      </c>
      <c r="X32" s="513">
        <f t="shared" si="3"/>
        <v>3</v>
      </c>
      <c r="Y32" s="862">
        <f>AVERAGE(X32:X34)</f>
        <v>3</v>
      </c>
      <c r="Z32" s="865" t="str">
        <f>IF(Y32=3,$AB$5, IF(OR(X32=0, X33=0, X34=0),$AB$7,$AB$6))</f>
        <v xml:space="preserve">ACCION(ES) CUMPLIDA(S) </v>
      </c>
      <c r="AA32" s="865" t="str">
        <f>IF(Z32=$AB$5,$AB$5,IF(Z32=$AB$7,$AB$7,$AB$6))</f>
        <v xml:space="preserve">ACCION(ES) CUMPLIDA(S) </v>
      </c>
      <c r="AB32" s="868" t="s">
        <v>445</v>
      </c>
      <c r="AC32" s="935" t="s">
        <v>100</v>
      </c>
      <c r="AD32" s="868" t="s">
        <v>521</v>
      </c>
      <c r="AE32" s="873" t="str">
        <f>IF(AND(AA32=$AB$5, AC32=$AC$5),$AD$5,IF(AND(AA32=$AB$6, AC32=$AC$7),$AD$7,IF(AND(AA32=$AB$5, AC32=$AC$7),$AD$7,$AD$6)))</f>
        <v>HALLAZGO PENDIENTE DE EVALUACION - Acciones no finalizadas, o acciones que siendo finalizadas, no se puede comprobar la efectividad en el periodo.</v>
      </c>
      <c r="AF32" s="950"/>
    </row>
    <row r="33" spans="1:32" s="27" customFormat="1" ht="60" x14ac:dyDescent="0.2">
      <c r="A33" s="923"/>
      <c r="B33" s="899"/>
      <c r="C33" s="925"/>
      <c r="D33" s="923"/>
      <c r="E33" s="921"/>
      <c r="F33" s="259" t="str">
        <f>'1115-F02 Informe PM'!G32</f>
        <v>Realizar Reunión con el Ministerio de Educación Nacional para tratar tema de la concurrencia pensional de la universidad</v>
      </c>
      <c r="G33" s="217" t="str">
        <f>'1115-F02 Informe PM'!H32</f>
        <v xml:space="preserve">Gestión Financiera </v>
      </c>
      <c r="H33" s="217" t="str">
        <f>'1115-F02 Informe PM'!I32</f>
        <v>Documento</v>
      </c>
      <c r="I33" s="217">
        <f>'1115-F02 Informe PM'!J32</f>
        <v>1</v>
      </c>
      <c r="J33" s="218">
        <f>'1115-F02 Informe PM'!L32</f>
        <v>44104</v>
      </c>
      <c r="K33" s="531">
        <v>1</v>
      </c>
      <c r="L33" s="1172" t="str">
        <f t="shared" si="0"/>
        <v>Finalizada</v>
      </c>
      <c r="M33" s="1175" t="s">
        <v>526</v>
      </c>
      <c r="N33" s="954" t="s">
        <v>427</v>
      </c>
      <c r="O33" s="966"/>
      <c r="P33" s="966"/>
      <c r="Q33" s="967"/>
      <c r="R33" s="36">
        <f t="shared" si="1"/>
        <v>1</v>
      </c>
      <c r="S33" s="28">
        <f t="shared" si="2"/>
        <v>0.33333333333333331</v>
      </c>
      <c r="T33" s="834"/>
      <c r="U33" s="878"/>
      <c r="V33" s="876"/>
      <c r="W33" s="515" t="s">
        <v>93</v>
      </c>
      <c r="X33" s="515">
        <f t="shared" si="3"/>
        <v>3</v>
      </c>
      <c r="Y33" s="864"/>
      <c r="Z33" s="866"/>
      <c r="AA33" s="866"/>
      <c r="AB33" s="869"/>
      <c r="AC33" s="936"/>
      <c r="AD33" s="869"/>
      <c r="AE33" s="874"/>
      <c r="AF33" s="857"/>
    </row>
    <row r="34" spans="1:32" s="27" customFormat="1" ht="60.75" customHeight="1" thickBot="1" x14ac:dyDescent="0.25">
      <c r="A34" s="939"/>
      <c r="B34" s="900"/>
      <c r="C34" s="938"/>
      <c r="D34" s="939"/>
      <c r="E34" s="940"/>
      <c r="F34" s="272" t="str">
        <f>'1115-F02 Informe PM'!G33</f>
        <v>Realizar el Ajuste contable de la cuentas de la  concurrencia de acuerdo a lo comunidado por el MEN</v>
      </c>
      <c r="G34" s="250" t="str">
        <f>'1115-F02 Informe PM'!H33</f>
        <v>Gestion Contable</v>
      </c>
      <c r="H34" s="250" t="str">
        <f>'1115-F02 Informe PM'!I33</f>
        <v>Documento</v>
      </c>
      <c r="I34" s="250">
        <f>'1115-F02 Informe PM'!J33</f>
        <v>1</v>
      </c>
      <c r="J34" s="251">
        <f>'1115-F02 Informe PM'!L33</f>
        <v>44255</v>
      </c>
      <c r="K34" s="532">
        <v>1</v>
      </c>
      <c r="L34" s="1173" t="str">
        <f t="shared" si="0"/>
        <v>Finalizada</v>
      </c>
      <c r="M34" s="1175" t="s">
        <v>526</v>
      </c>
      <c r="N34" s="1012" t="s">
        <v>428</v>
      </c>
      <c r="O34" s="1023"/>
      <c r="P34" s="1023"/>
      <c r="Q34" s="1024"/>
      <c r="R34" s="48">
        <f t="shared" si="1"/>
        <v>1</v>
      </c>
      <c r="S34" s="49">
        <f t="shared" si="2"/>
        <v>0.33333333333333331</v>
      </c>
      <c r="T34" s="847"/>
      <c r="U34" s="879"/>
      <c r="V34" s="890"/>
      <c r="W34" s="522" t="s">
        <v>93</v>
      </c>
      <c r="X34" s="522">
        <f t="shared" si="3"/>
        <v>3</v>
      </c>
      <c r="Y34" s="889"/>
      <c r="Z34" s="933"/>
      <c r="AA34" s="933"/>
      <c r="AB34" s="934"/>
      <c r="AC34" s="937"/>
      <c r="AD34" s="934"/>
      <c r="AE34" s="941"/>
      <c r="AF34" s="951"/>
    </row>
    <row r="35" spans="1:32" s="27" customFormat="1" ht="111.75" customHeight="1" x14ac:dyDescent="0.2">
      <c r="A35" s="989">
        <f>'1115-F02 Informe PM'!A34</f>
        <v>7</v>
      </c>
      <c r="B35" s="887" t="str">
        <f>'1115-F02 Informe PM'!B34</f>
        <v>07-2019</v>
      </c>
      <c r="C35" s="885" t="str">
        <f>'1115-F02 Informe PM'!C34</f>
        <v xml:space="preserve">HALLAZGO 7 INGRESOS MATRÍCULA FINANCIERA 
Contrario a las normas citadas, la Universidad Tecnológica de Pereira, al cierre de la vigencia 2019, presentó un mayor valor por $545.570.442 en los ingresos contables por venta de servicios educativos, como resultado de las diferencias identificadas en 15.952 terceros de un total de 21.178, mediante el cruce de las siguientes bases de datos:
•	Informe de matrícula financiera, que contiene la relación de los estudiantes matriculados en los períodos académicos 2019-I y 2019-II y los respectivos pagos, detallados por número de identificación, programas académicos, jornadas, separado por pregrado nuevos, antiguos y posgrado.
•	Base de datos 2: Ingresos por prestación de servicios educativos, según saldos contables por terceros, correspondientes las cuentas 4305, 4390 y 4395, las cuales integran los diferentes conceptos que afectan la matrícula. 
Así mismo, se evidenció que los pagos efectuados por el ICETEX por $7.059.236.271, no fueron afectados en forma detallada por estudiante beneficiario, en el software de matrícula financiera, ni en contabilidad. </v>
      </c>
      <c r="D35" s="883" t="str">
        <f>'1115-F02 Informe PM'!D34</f>
        <v>Debilidades en la conciliación y ajustes de los registros contables de ingresos al cierre de la vigencia, en la depuración de saldos por terceros y en los controles del software de matrícula financiera</v>
      </c>
      <c r="E35" s="881" t="str">
        <f>'1115-F02 Informe PM'!F34</f>
        <v xml:space="preserve"> Revisión de las cuentas contables y presupuestales para el ingreso correspondiente a matriculas y programas de acceso y permanencia a la educación superior</v>
      </c>
      <c r="F35" s="258" t="str">
        <f>'1115-F02 Informe PM'!G34</f>
        <v>Realizar Reunión con el equipo financiero para validar las cuentas contables y las cuentas presupuestales</v>
      </c>
      <c r="G35" s="213" t="str">
        <f>'1115-F02 Informe PM'!H34</f>
        <v xml:space="preserve">Gestión Financiera </v>
      </c>
      <c r="H35" s="213" t="str">
        <f>'1115-F02 Informe PM'!I34</f>
        <v>Documento</v>
      </c>
      <c r="I35" s="213">
        <f>'1115-F02 Informe PM'!J34</f>
        <v>1</v>
      </c>
      <c r="J35" s="214">
        <f>'1115-F02 Informe PM'!L34</f>
        <v>44286</v>
      </c>
      <c r="K35" s="366">
        <v>1</v>
      </c>
      <c r="L35" s="1171" t="str">
        <f t="shared" si="0"/>
        <v>Finalizada</v>
      </c>
      <c r="M35" s="1171" t="s">
        <v>419</v>
      </c>
      <c r="N35" s="975" t="s">
        <v>512</v>
      </c>
      <c r="O35" s="975"/>
      <c r="P35" s="975"/>
      <c r="Q35" s="976"/>
      <c r="R35" s="35">
        <f t="shared" si="1"/>
        <v>1</v>
      </c>
      <c r="S35" s="26">
        <f>(R35)/4</f>
        <v>0.25</v>
      </c>
      <c r="T35" s="833">
        <f>(S35+S36+S37+S38)/$V$10</f>
        <v>6.5789473684210523E-3</v>
      </c>
      <c r="U35" s="949" t="str">
        <f>IF(T35=$W$10, "CUMPLIDA", "PENDIENTE")</f>
        <v>PENDIENTE</v>
      </c>
      <c r="V35" s="860" t="str">
        <f>IF(AND(T35=$W$10),$AB$9,$AB$10)</f>
        <v>HALLAZGO PENDIENTE DE CUMPLIMIENTO DE ACCION</v>
      </c>
      <c r="W35" s="513" t="s">
        <v>93</v>
      </c>
      <c r="X35" s="513">
        <f t="shared" si="3"/>
        <v>3</v>
      </c>
      <c r="Y35" s="862">
        <f>AVERAGE(X35:X38)</f>
        <v>0.75</v>
      </c>
      <c r="Z35" s="865" t="str">
        <f>IF(Y35=3,$AB$5, IF(Y35=0,$AB$7,$AB$6))</f>
        <v>ACCION(ES) PARCIALMENTE CUMPLIDA(S)</v>
      </c>
      <c r="AA35" s="865" t="str">
        <f>IF(AND(Z35=$AB$5,Z37=$AB$5),$AB$5,IF(OR(Z35=$AB$7, Z37=$AB$7),$AB$7,$AB$6))</f>
        <v>ACCION(ES) PARCIALMENTE CUMPLIDA(S)</v>
      </c>
      <c r="AB35" s="868" t="s">
        <v>475</v>
      </c>
      <c r="AC35" s="935" t="s">
        <v>100</v>
      </c>
      <c r="AD35" s="868" t="s">
        <v>476</v>
      </c>
      <c r="AE35" s="873" t="str">
        <f>IF(AND(AA35=$AB$5, AC35=$AC$5),$AD$5,IF(AND(AA35=$AB$6, AC35=$AC$7),$AD$7,IF(AND(AA35=$AB$5, AC35=$AC$7),$AD$7,$AD$6)))</f>
        <v>HALLAZGO PENDIENTE DE EVALUACION - Acciones no finalizadas, o acciones que siendo finalizadas, no se puede comprobar la efectividad en el periodo.</v>
      </c>
      <c r="AF35" s="950"/>
    </row>
    <row r="36" spans="1:32" s="27" customFormat="1" ht="119.25" customHeight="1" x14ac:dyDescent="0.2">
      <c r="A36" s="980"/>
      <c r="B36" s="899"/>
      <c r="C36" s="925"/>
      <c r="D36" s="923"/>
      <c r="E36" s="921"/>
      <c r="F36" s="259" t="str">
        <f>'1115-F02 Informe PM'!G35</f>
        <v>Generar instructivo para la contabilización de los ingresos relacionados con matricula y programas de acceso y permanencia a la educación superior</v>
      </c>
      <c r="G36" s="217" t="str">
        <f>'1115-F02 Informe PM'!H35</f>
        <v xml:space="preserve">Gestión Financiera </v>
      </c>
      <c r="H36" s="217" t="str">
        <f>'1115-F02 Informe PM'!I35</f>
        <v>Documento</v>
      </c>
      <c r="I36" s="217">
        <f>'1115-F02 Informe PM'!J35</f>
        <v>1</v>
      </c>
      <c r="J36" s="218">
        <f>'1115-F02 Informe PM'!L35</f>
        <v>44316</v>
      </c>
      <c r="K36" s="367"/>
      <c r="L36" s="1172" t="str">
        <f>IF(K36=I36,$AA$9,IF(AND(K36&lt;I36,J36&lt;$D$11),$AA$10,$AA$11))</f>
        <v xml:space="preserve">Vigente </v>
      </c>
      <c r="M36" s="1172" t="s">
        <v>419</v>
      </c>
      <c r="N36" s="977" t="s">
        <v>527</v>
      </c>
      <c r="O36" s="977"/>
      <c r="P36" s="977"/>
      <c r="Q36" s="978"/>
      <c r="R36" s="36">
        <f>K36/I36</f>
        <v>0</v>
      </c>
      <c r="S36" s="28">
        <f>(R36)/4</f>
        <v>0</v>
      </c>
      <c r="T36" s="834"/>
      <c r="U36" s="942"/>
      <c r="V36" s="876"/>
      <c r="W36" s="515"/>
      <c r="X36" s="515">
        <f t="shared" si="3"/>
        <v>0</v>
      </c>
      <c r="Y36" s="864"/>
      <c r="Z36" s="866"/>
      <c r="AA36" s="866"/>
      <c r="AB36" s="869"/>
      <c r="AC36" s="936"/>
      <c r="AD36" s="869"/>
      <c r="AE36" s="874"/>
      <c r="AF36" s="857"/>
    </row>
    <row r="37" spans="1:32" s="27" customFormat="1" ht="117.75" customHeight="1" x14ac:dyDescent="0.2">
      <c r="A37" s="980"/>
      <c r="B37" s="899"/>
      <c r="C37" s="925"/>
      <c r="D37" s="923"/>
      <c r="E37" s="921"/>
      <c r="F37" s="259" t="str">
        <f>'1115-F02 Informe PM'!G36</f>
        <v>Socializar propuesta de instructivo con la Vicerrectoría Adminstrativa y Financiera y GTI&amp;SI para su validación</v>
      </c>
      <c r="G37" s="217" t="str">
        <f>'1115-F02 Informe PM'!H36</f>
        <v xml:space="preserve">Gestión Financiera </v>
      </c>
      <c r="H37" s="217" t="str">
        <f>'1115-F02 Informe PM'!I36</f>
        <v>Documento</v>
      </c>
      <c r="I37" s="217">
        <f>'1115-F02 Informe PM'!J36</f>
        <v>1</v>
      </c>
      <c r="J37" s="218">
        <f>'1115-F02 Informe PM'!L36</f>
        <v>44347</v>
      </c>
      <c r="K37" s="367">
        <v>0</v>
      </c>
      <c r="L37" s="1172" t="str">
        <f t="shared" si="0"/>
        <v xml:space="preserve">Vigente </v>
      </c>
      <c r="M37" s="1172" t="s">
        <v>419</v>
      </c>
      <c r="N37" s="977" t="s">
        <v>527</v>
      </c>
      <c r="O37" s="977"/>
      <c r="P37" s="977"/>
      <c r="Q37" s="978"/>
      <c r="R37" s="36">
        <f t="shared" si="1"/>
        <v>0</v>
      </c>
      <c r="S37" s="28">
        <f>(R37)/4</f>
        <v>0</v>
      </c>
      <c r="T37" s="834"/>
      <c r="U37" s="942"/>
      <c r="V37" s="876"/>
      <c r="W37" s="515"/>
      <c r="X37" s="515">
        <f t="shared" si="3"/>
        <v>0</v>
      </c>
      <c r="Y37" s="864"/>
      <c r="Z37" s="866"/>
      <c r="AA37" s="866"/>
      <c r="AB37" s="869"/>
      <c r="AC37" s="936"/>
      <c r="AD37" s="869"/>
      <c r="AE37" s="874"/>
      <c r="AF37" s="857"/>
    </row>
    <row r="38" spans="1:32" s="27" customFormat="1" ht="42" customHeight="1" thickBot="1" x14ac:dyDescent="0.25">
      <c r="A38" s="981"/>
      <c r="B38" s="888"/>
      <c r="C38" s="886"/>
      <c r="D38" s="884"/>
      <c r="E38" s="882"/>
      <c r="F38" s="260" t="str">
        <f>'1115-F02 Informe PM'!G37</f>
        <v>Solicitar a Sistema Integral de Gestión la inclusión del instructivo</v>
      </c>
      <c r="G38" s="215" t="str">
        <f>'1115-F02 Informe PM'!H37</f>
        <v xml:space="preserve">Gestión Financiera </v>
      </c>
      <c r="H38" s="215" t="str">
        <f>'1115-F02 Informe PM'!I37</f>
        <v>Documento</v>
      </c>
      <c r="I38" s="215">
        <f>'1115-F02 Informe PM'!J37</f>
        <v>1</v>
      </c>
      <c r="J38" s="216">
        <f>'1115-F02 Informe PM'!L37</f>
        <v>44377</v>
      </c>
      <c r="K38" s="368">
        <v>0</v>
      </c>
      <c r="L38" s="1174" t="str">
        <f t="shared" si="0"/>
        <v xml:space="preserve">Vigente </v>
      </c>
      <c r="M38" s="1174" t="s">
        <v>526</v>
      </c>
      <c r="N38" s="957" t="s">
        <v>527</v>
      </c>
      <c r="O38" s="957"/>
      <c r="P38" s="957"/>
      <c r="Q38" s="958"/>
      <c r="R38" s="48">
        <f t="shared" si="1"/>
        <v>0</v>
      </c>
      <c r="S38" s="49">
        <f>(R38)/4</f>
        <v>0</v>
      </c>
      <c r="T38" s="847"/>
      <c r="U38" s="943"/>
      <c r="V38" s="890"/>
      <c r="W38" s="522"/>
      <c r="X38" s="522">
        <f t="shared" si="3"/>
        <v>0</v>
      </c>
      <c r="Y38" s="889"/>
      <c r="Z38" s="933"/>
      <c r="AA38" s="933"/>
      <c r="AB38" s="934"/>
      <c r="AC38" s="937"/>
      <c r="AD38" s="934"/>
      <c r="AE38" s="941"/>
      <c r="AF38" s="951"/>
    </row>
    <row r="39" spans="1:32" s="27" customFormat="1" ht="87" customHeight="1" x14ac:dyDescent="0.2">
      <c r="A39" s="922">
        <f>'1115-F02 Informe PM'!A38</f>
        <v>8</v>
      </c>
      <c r="B39" s="926" t="str">
        <f>'1115-F02 Informe PM'!B38</f>
        <v>08-2019</v>
      </c>
      <c r="C39" s="924" t="str">
        <f>'1115-F02 Informe PM'!C38</f>
        <v>HALLAZGO 8 REGISTRO PARA PROVISIONES DE LITIGIOS Y DEMANDAS 
La Universidad Tecnológica de Pereira – UTP registró provisiones y ajustes a provisiones para litigios y demandas, incurriendo en subestimaciones y sobreestimaciones de las cuentas de ingresos y de gastos que alteraron el resultado del periodo contable 2019 en $35.037.528; así (Ver tabla 12 Informe)
Igualmente se evidenció, sobreestimación de la cuenta 2460 Créditos Judiciales por $28.548.528, toda vez que la UTP canceló al beneficiario del registro el valor total conciliado por $56.875.424, de los cuales $6.093.795 de destinaron al pago de aportes de seguridad social, de conformidad con la Resolución de Rectoría 8629 del 16/12/2019. Como consecuencia del pago total del acuerdo conciliatorio, el saldo por pagar registrado a 31/12/2019 en la cuenta 2460 Créditos judiciales debía ser $0. El reconocimiento inicial de la cuenta por pagar fue de $85.423.952.</v>
      </c>
      <c r="D39" s="922" t="str">
        <f>'1115-F02 Informe PM'!D38</f>
        <v>Debilidades de control y seguimiento en el proceso de registro de los procesos judiciales</v>
      </c>
      <c r="E39" s="523" t="str">
        <f>'1115-F02 Informe PM'!F38</f>
        <v xml:space="preserve">Revisión del auxiliar Litigios y  Demandas tercero por tercero trimestralmente.                                                                                                                                                                                                                      </v>
      </c>
      <c r="F39" s="261" t="str">
        <f>'1115-F02 Informe PM'!G38</f>
        <v>Conciliar cada tercero cuenta por cuenta a los cuales se les realizará ajuste de provisión de acuerdo a la información enviada cada trimestre por la oficina de jurídica.</v>
      </c>
      <c r="G39" s="248" t="str">
        <f>'1115-F02 Informe PM'!H38</f>
        <v>Gestion Contable</v>
      </c>
      <c r="H39" s="248" t="str">
        <f>'1115-F02 Informe PM'!I38</f>
        <v>Documento</v>
      </c>
      <c r="I39" s="248">
        <f>'1115-F02 Informe PM'!J38</f>
        <v>4</v>
      </c>
      <c r="J39" s="249">
        <f>'1115-F02 Informe PM'!L38</f>
        <v>44285</v>
      </c>
      <c r="K39" s="369">
        <v>4</v>
      </c>
      <c r="L39" s="1175" t="str">
        <f t="shared" si="0"/>
        <v>Finalizada</v>
      </c>
      <c r="M39" s="1175" t="s">
        <v>526</v>
      </c>
      <c r="N39" s="992" t="s">
        <v>520</v>
      </c>
      <c r="O39" s="992"/>
      <c r="P39" s="992"/>
      <c r="Q39" s="993"/>
      <c r="R39" s="35">
        <f t="shared" si="1"/>
        <v>1</v>
      </c>
      <c r="S39" s="26">
        <f t="shared" ref="S39:S44" si="4">(R39)/1</f>
        <v>1</v>
      </c>
      <c r="T39" s="39">
        <f t="shared" ref="T39:T44" si="5">(S39)/$V$10</f>
        <v>2.6315789473684209E-2</v>
      </c>
      <c r="U39" s="536" t="str">
        <f t="shared" ref="U39:U45" si="6">IF(T39=$W$10, "CUMPLIDA", "PENDIENTE")</f>
        <v>CUMPLIDA</v>
      </c>
      <c r="V39" s="860" t="str">
        <f>IF(AND(T39=$W$10),$AB$9,$AB$10)</f>
        <v>HALLAZGO CON ACCIONES CUMPLIDAS</v>
      </c>
      <c r="W39" s="513" t="s">
        <v>93</v>
      </c>
      <c r="X39" s="513">
        <f t="shared" si="3"/>
        <v>3</v>
      </c>
      <c r="Y39" s="513">
        <f t="shared" ref="Y39:Y44" si="7">AVERAGE(X39)</f>
        <v>3</v>
      </c>
      <c r="Z39" s="516" t="str">
        <f>IF(Y39=3,$AB$5, IF(OR(X39=0),$AB$7,$AB$6))</f>
        <v xml:space="preserve">ACCION(ES) CUMPLIDA(S) </v>
      </c>
      <c r="AA39" s="865" t="str">
        <f>IF(AND(Z39=$AB$5,Z40=$AB$5,Z41=$AB$5),$AB$5,IF(OR(Z39=$AB$7, Z40=$AB$7,Z41=$AB$7),$AB$7,$AB$6))</f>
        <v xml:space="preserve">ACCION(ES) CUMPLIDA(S) </v>
      </c>
      <c r="AB39" s="868" t="s">
        <v>481</v>
      </c>
      <c r="AC39" s="935" t="s">
        <v>100</v>
      </c>
      <c r="AD39" s="868" t="s">
        <v>523</v>
      </c>
      <c r="AE39" s="873" t="str">
        <f>IF(AND(AA39=$AB$5, AC39=$AC$5),$AD$5,IF(AND(AA39=$AB$6, AC39=$AC$7),$AD$7,IF(AND(AA39=$AB$5, AC39=$AC$7),$AD$7,$AD$6)))</f>
        <v>HALLAZGO PENDIENTE DE EVALUACION - Acciones no finalizadas, o acciones que siendo finalizadas, no se puede comprobar la efectividad en el periodo.</v>
      </c>
      <c r="AF39" s="950"/>
    </row>
    <row r="40" spans="1:32" s="27" customFormat="1" ht="98.25" customHeight="1" x14ac:dyDescent="0.2">
      <c r="A40" s="923"/>
      <c r="B40" s="899"/>
      <c r="C40" s="925"/>
      <c r="D40" s="923"/>
      <c r="E40" s="524" t="str">
        <f>'1115-F02 Informe PM'!F39</f>
        <v>Contabilización de la cancelacion del saldo de la cuenta por pagar Sentencias y Conciliaciones</v>
      </c>
      <c r="F40" s="259" t="str">
        <f>'1115-F02 Informe PM'!G39</f>
        <v>Contabilizar el valor del saldo de la cuenta 2460  a nombre del señor Fabio Vera Grisales, una vez se hagan los respectivos cruces del pago de seguridad social pendientes por pagar enviados por la oficina de Talento Humano</v>
      </c>
      <c r="G40" s="217" t="str">
        <f>'1115-F02 Informe PM'!H39</f>
        <v>Gestion Contable</v>
      </c>
      <c r="H40" s="217" t="str">
        <f>'1115-F02 Informe PM'!I39</f>
        <v>Documento</v>
      </c>
      <c r="I40" s="217">
        <f>'1115-F02 Informe PM'!J39</f>
        <v>1</v>
      </c>
      <c r="J40" s="218">
        <f>'1115-F02 Informe PM'!L39</f>
        <v>44104</v>
      </c>
      <c r="K40" s="531">
        <v>1</v>
      </c>
      <c r="L40" s="1172" t="str">
        <f t="shared" si="0"/>
        <v>Finalizada</v>
      </c>
      <c r="M40" s="1175" t="s">
        <v>526</v>
      </c>
      <c r="N40" s="965" t="s">
        <v>432</v>
      </c>
      <c r="O40" s="966"/>
      <c r="P40" s="966"/>
      <c r="Q40" s="967"/>
      <c r="R40" s="36">
        <f t="shared" si="1"/>
        <v>1</v>
      </c>
      <c r="S40" s="28">
        <f t="shared" si="4"/>
        <v>1</v>
      </c>
      <c r="T40" s="138">
        <f t="shared" si="5"/>
        <v>2.6315789473684209E-2</v>
      </c>
      <c r="U40" s="537" t="str">
        <f t="shared" si="6"/>
        <v>CUMPLIDA</v>
      </c>
      <c r="V40" s="876"/>
      <c r="W40" s="515" t="s">
        <v>93</v>
      </c>
      <c r="X40" s="515">
        <f t="shared" si="3"/>
        <v>3</v>
      </c>
      <c r="Y40" s="515">
        <f t="shared" si="7"/>
        <v>3</v>
      </c>
      <c r="Z40" s="517" t="str">
        <f>IF(Y40=3,$AB$5, IF(OR( X40=0),$AB$7,$AB$6))</f>
        <v xml:space="preserve">ACCION(ES) CUMPLIDA(S) </v>
      </c>
      <c r="AA40" s="866"/>
      <c r="AB40" s="869"/>
      <c r="AC40" s="936"/>
      <c r="AD40" s="869"/>
      <c r="AE40" s="874"/>
      <c r="AF40" s="857"/>
    </row>
    <row r="41" spans="1:32" s="27" customFormat="1" ht="90.75" customHeight="1" thickBot="1" x14ac:dyDescent="0.25">
      <c r="A41" s="884"/>
      <c r="B41" s="888"/>
      <c r="C41" s="886"/>
      <c r="D41" s="884"/>
      <c r="E41" s="521" t="str">
        <f>'1115-F02 Informe PM'!F40</f>
        <v>Comunicación a Gestion Contable la actualizacion de la provision contable, cuando exista acuerdo conciliatorio dentro del proceso judicial.</v>
      </c>
      <c r="F41" s="260" t="str">
        <f>'1115-F02 Informe PM'!G40</f>
        <v>Enviar memorando a Gestion Contable comunicando que se enviarà la actualizacion de la provision contable, una vez exista un acuerdo conciliatorio dentro del proceso judicial.</v>
      </c>
      <c r="G41" s="215" t="str">
        <f>'1115-F02 Informe PM'!H40</f>
        <v xml:space="preserve">Juridica </v>
      </c>
      <c r="H41" s="215" t="str">
        <f>'1115-F02 Informe PM'!I40</f>
        <v>Memorando</v>
      </c>
      <c r="I41" s="215">
        <f>'1115-F02 Informe PM'!J40</f>
        <v>1</v>
      </c>
      <c r="J41" s="216">
        <f>'1115-F02 Informe PM'!L40</f>
        <v>44196</v>
      </c>
      <c r="K41" s="533">
        <v>1</v>
      </c>
      <c r="L41" s="1174" t="str">
        <f t="shared" si="0"/>
        <v>Finalizada</v>
      </c>
      <c r="M41" s="1174" t="s">
        <v>526</v>
      </c>
      <c r="N41" s="996" t="s">
        <v>451</v>
      </c>
      <c r="O41" s="997"/>
      <c r="P41" s="997"/>
      <c r="Q41" s="998"/>
      <c r="R41" s="48">
        <f t="shared" si="1"/>
        <v>1</v>
      </c>
      <c r="S41" s="49">
        <f t="shared" si="4"/>
        <v>1</v>
      </c>
      <c r="T41" s="150">
        <f t="shared" si="5"/>
        <v>2.6315789473684209E-2</v>
      </c>
      <c r="U41" s="526" t="str">
        <f t="shared" si="6"/>
        <v>CUMPLIDA</v>
      </c>
      <c r="V41" s="890"/>
      <c r="W41" s="522" t="s">
        <v>93</v>
      </c>
      <c r="X41" s="522">
        <f t="shared" si="3"/>
        <v>3</v>
      </c>
      <c r="Y41" s="522">
        <f t="shared" si="7"/>
        <v>3</v>
      </c>
      <c r="Z41" s="525" t="str">
        <f>IF(Y41=3,$AB$5, IF(OR(X41=0),$AB$7,$AB$6))</f>
        <v xml:space="preserve">ACCION(ES) CUMPLIDA(S) </v>
      </c>
      <c r="AA41" s="933"/>
      <c r="AB41" s="934"/>
      <c r="AC41" s="937"/>
      <c r="AD41" s="934"/>
      <c r="AE41" s="941"/>
      <c r="AF41" s="951"/>
    </row>
    <row r="42" spans="1:32" s="27" customFormat="1" ht="105.75" customHeight="1" x14ac:dyDescent="0.2">
      <c r="A42" s="922">
        <f>'1115-F02 Informe PM'!A41</f>
        <v>9</v>
      </c>
      <c r="B42" s="926" t="str">
        <f>'1115-F02 Informe PM'!B41</f>
        <v>09-2019</v>
      </c>
      <c r="C42" s="924" t="str">
        <f>'1115-F02 Informe PM'!C41</f>
        <v>HALLAZGO 9 COSTOS DE FINANCIACIÓN 
Contrario a lo establecido por la norma de costos de financiación, la Universidad Tecnológica de Pereira – UTP, registró como gasto en la cuenta 580435 Costo Efectivo de Préstamos por Pagar el valor de $102.766.793 por concepto del 100% de los intereses generados en 2019 por un crédito de la línea Findeter contratado en la vigencia por $10.511.836.935 y destinados al proyecto denominado “Mejoramiento de la Infraestructura de la Universidad Tecnológica de Pereira - UTP para el desarrollo de sus actividades misionales. Pereira”, debiendo capitalizar costos y registrarlos como un mayor valor de los activos por $26.587.458, como se detalla a continuación (Ver tabla 13 Informe)</v>
      </c>
      <c r="D42" s="922" t="str">
        <f>'1115-F02 Informe PM'!D41</f>
        <v>Debilidades de control y seguimiento en las áreas involucradas en la gestión, administración, identificación, clasificación y medición de un activo apto</v>
      </c>
      <c r="E42" s="523" t="str">
        <f>'1115-F02 Informe PM'!F41</f>
        <v>Interpretación de la Norma en relación a la medición de los Costos de Financiación.</v>
      </c>
      <c r="F42" s="261" t="str">
        <f>'1115-F02 Informe PM'!G41</f>
        <v>Realizar la socialización con la Oficina de Planeación y Tesorería de la interpretación de la norma de costos de financiación de acuerde al Nuevo Marco Normativo para Entidades de Gobierno con los involucrados</v>
      </c>
      <c r="G42" s="248" t="str">
        <f>'1115-F02 Informe PM'!H41</f>
        <v>Gestion Contable</v>
      </c>
      <c r="H42" s="248" t="str">
        <f>'1115-F02 Informe PM'!I41</f>
        <v>Documento</v>
      </c>
      <c r="I42" s="248">
        <f>'1115-F02 Informe PM'!J41</f>
        <v>1</v>
      </c>
      <c r="J42" s="249">
        <f>'1115-F02 Informe PM'!L41</f>
        <v>44165</v>
      </c>
      <c r="K42" s="534">
        <v>1</v>
      </c>
      <c r="L42" s="1175" t="str">
        <f t="shared" si="0"/>
        <v>Finalizada</v>
      </c>
      <c r="M42" s="1175" t="s">
        <v>526</v>
      </c>
      <c r="N42" s="954" t="s">
        <v>465</v>
      </c>
      <c r="O42" s="954"/>
      <c r="P42" s="954"/>
      <c r="Q42" s="955"/>
      <c r="R42" s="35">
        <f t="shared" si="1"/>
        <v>1</v>
      </c>
      <c r="S42" s="26">
        <f t="shared" si="4"/>
        <v>1</v>
      </c>
      <c r="T42" s="39">
        <f t="shared" si="5"/>
        <v>2.6315789473684209E-2</v>
      </c>
      <c r="U42" s="518" t="str">
        <f t="shared" si="6"/>
        <v>CUMPLIDA</v>
      </c>
      <c r="V42" s="860" t="str">
        <f>IF(AND(T42=$W$10),$AB$9,$AB$10)</f>
        <v>HALLAZGO CON ACCIONES CUMPLIDAS</v>
      </c>
      <c r="W42" s="513" t="s">
        <v>93</v>
      </c>
      <c r="X42" s="513">
        <f t="shared" si="3"/>
        <v>3</v>
      </c>
      <c r="Y42" s="513">
        <f t="shared" si="7"/>
        <v>3</v>
      </c>
      <c r="Z42" s="516" t="str">
        <f>IF(Y42=3,$AB$5, IF(OR(X42=0),$AB$7,$AB$6))</f>
        <v xml:space="preserve">ACCION(ES) CUMPLIDA(S) </v>
      </c>
      <c r="AA42" s="865" t="str">
        <f>IF(AND(Z42=$AB$5,Z43=$AB$5,Z44=$AB$5),$AB$5,IF(OR(Z42=$AB$7, Z43=$AB$7,Z44=$AB$7),$AB$7,$AB$6))</f>
        <v xml:space="preserve">ACCION(ES) CUMPLIDA(S) </v>
      </c>
      <c r="AB42" s="868" t="s">
        <v>470</v>
      </c>
      <c r="AC42" s="935" t="s">
        <v>100</v>
      </c>
      <c r="AD42" s="868" t="s">
        <v>524</v>
      </c>
      <c r="AE42" s="873" t="str">
        <f>IF(AND(AA42=$AB$5, AC42=$AC$5),$AD$5,IF(AND(AA42=$AB$6, AC42=$AC$7),$AD$7,IF(AND(AA42=$AB$5, AC42=$AC$7),$AD$7,$AD$6)))</f>
        <v>HALLAZGO PENDIENTE DE EVALUACION - Acciones no finalizadas, o acciones que siendo finalizadas, no se puede comprobar la efectividad en el periodo.</v>
      </c>
      <c r="AF42" s="950"/>
    </row>
    <row r="43" spans="1:32" s="27" customFormat="1" ht="84.75" customHeight="1" x14ac:dyDescent="0.2">
      <c r="A43" s="923"/>
      <c r="B43" s="899"/>
      <c r="C43" s="925"/>
      <c r="D43" s="923"/>
      <c r="E43" s="524" t="str">
        <f>'1115-F02 Informe PM'!F42</f>
        <v xml:space="preserve"> Ajuste del formato para el reporte de los costos de financiación de los crédito que soportan a los activos. </v>
      </c>
      <c r="F43" s="259" t="str">
        <f>'1115-F02 Informe PM'!G42</f>
        <v>Revisar con la Oficina de Planeación    el formato de reporte de los costos de financiación correspondiente a los creditos que se constituyan y que sean destinados a línea de infraestructura física.</v>
      </c>
      <c r="G43" s="217" t="str">
        <f>'1115-F02 Informe PM'!H42</f>
        <v>Gestion Contable</v>
      </c>
      <c r="H43" s="217" t="str">
        <f>'1115-F02 Informe PM'!I42</f>
        <v>Documento</v>
      </c>
      <c r="I43" s="217">
        <f>'1115-F02 Informe PM'!J42</f>
        <v>1</v>
      </c>
      <c r="J43" s="218">
        <f>'1115-F02 Informe PM'!L42</f>
        <v>44165</v>
      </c>
      <c r="K43" s="531">
        <v>1</v>
      </c>
      <c r="L43" s="1172" t="str">
        <f t="shared" si="0"/>
        <v>Finalizada</v>
      </c>
      <c r="M43" s="1175" t="s">
        <v>526</v>
      </c>
      <c r="N43" s="965" t="s">
        <v>466</v>
      </c>
      <c r="O43" s="965"/>
      <c r="P43" s="965"/>
      <c r="Q43" s="1076"/>
      <c r="R43" s="36">
        <f t="shared" si="1"/>
        <v>1</v>
      </c>
      <c r="S43" s="28">
        <f t="shared" si="4"/>
        <v>1</v>
      </c>
      <c r="T43" s="138">
        <f t="shared" si="5"/>
        <v>2.6315789473684209E-2</v>
      </c>
      <c r="U43" s="519" t="str">
        <f t="shared" si="6"/>
        <v>CUMPLIDA</v>
      </c>
      <c r="V43" s="876"/>
      <c r="W43" s="515" t="s">
        <v>93</v>
      </c>
      <c r="X43" s="515">
        <f t="shared" si="3"/>
        <v>3</v>
      </c>
      <c r="Y43" s="515">
        <f t="shared" si="7"/>
        <v>3</v>
      </c>
      <c r="Z43" s="517" t="str">
        <f>IF(Y43=3,$AB$5, IF(OR(X43=0),$AB$7,$AB$6))</f>
        <v xml:space="preserve">ACCION(ES) CUMPLIDA(S) </v>
      </c>
      <c r="AA43" s="866"/>
      <c r="AB43" s="869"/>
      <c r="AC43" s="936"/>
      <c r="AD43" s="869"/>
      <c r="AE43" s="874"/>
      <c r="AF43" s="857"/>
    </row>
    <row r="44" spans="1:32" s="27" customFormat="1" ht="101.25" customHeight="1" thickBot="1" x14ac:dyDescent="0.25">
      <c r="A44" s="884"/>
      <c r="B44" s="888"/>
      <c r="C44" s="886"/>
      <c r="D44" s="884"/>
      <c r="E44" s="521" t="str">
        <f>'1115-F02 Informe PM'!F43</f>
        <v>Ajuste de capitalización de intereses en las respectivas cuentas del activo.</v>
      </c>
      <c r="F44" s="260" t="str">
        <f>'1115-F02 Informe PM'!G43</f>
        <v>Realizar el Ajuste de acuerdo al informe enviado por la Oficina de Planeación responsable en la cuenta correspondiente de la 1615</v>
      </c>
      <c r="G44" s="215" t="str">
        <f>'1115-F02 Informe PM'!H43</f>
        <v>Gestion Contable</v>
      </c>
      <c r="H44" s="215" t="str">
        <f>'1115-F02 Informe PM'!I43</f>
        <v>Documento</v>
      </c>
      <c r="I44" s="215">
        <f>'1115-F02 Informe PM'!J43</f>
        <v>1</v>
      </c>
      <c r="J44" s="216">
        <f>'1115-F02 Informe PM'!L43</f>
        <v>44165</v>
      </c>
      <c r="K44" s="533">
        <v>1</v>
      </c>
      <c r="L44" s="1174" t="str">
        <f t="shared" si="0"/>
        <v>Finalizada</v>
      </c>
      <c r="M44" s="1174" t="s">
        <v>526</v>
      </c>
      <c r="N44" s="996" t="s">
        <v>467</v>
      </c>
      <c r="O44" s="997"/>
      <c r="P44" s="997"/>
      <c r="Q44" s="998"/>
      <c r="R44" s="48">
        <f t="shared" si="1"/>
        <v>1</v>
      </c>
      <c r="S44" s="49">
        <f t="shared" si="4"/>
        <v>1</v>
      </c>
      <c r="T44" s="150">
        <f t="shared" si="5"/>
        <v>2.6315789473684209E-2</v>
      </c>
      <c r="U44" s="526" t="str">
        <f t="shared" si="6"/>
        <v>CUMPLIDA</v>
      </c>
      <c r="V44" s="890"/>
      <c r="W44" s="522" t="s">
        <v>93</v>
      </c>
      <c r="X44" s="522">
        <f t="shared" si="3"/>
        <v>3</v>
      </c>
      <c r="Y44" s="522">
        <f t="shared" si="7"/>
        <v>3</v>
      </c>
      <c r="Z44" s="525" t="str">
        <f>IF(Y44=3,$AB$5, IF(OR(X44=0),$AB$7,$AB$6))</f>
        <v xml:space="preserve">ACCION(ES) CUMPLIDA(S) </v>
      </c>
      <c r="AA44" s="933"/>
      <c r="AB44" s="934"/>
      <c r="AC44" s="937"/>
      <c r="AD44" s="934"/>
      <c r="AE44" s="941"/>
      <c r="AF44" s="951"/>
    </row>
    <row r="45" spans="1:32" s="27" customFormat="1" ht="116.25" customHeight="1" x14ac:dyDescent="0.2">
      <c r="A45" s="979">
        <f>'1115-F02 Informe PM'!A44</f>
        <v>10</v>
      </c>
      <c r="B45" s="926" t="str">
        <f>'1115-F02 Informe PM'!B44</f>
        <v>10-2019</v>
      </c>
      <c r="C45" s="924" t="str">
        <f>'1115-F02 Informe PM'!C44</f>
        <v>HALLAZGO 10 CONTRATO 5641 DE 2018 BLOQUE HORTICULTURA 
En visita técnica realizada a la Universidad Tecnológica de Pereira, a las obras ejecutadas según contrato de obra 5641 de 2018, se evidenció lo siguiente: 
Contrato de obra 5641 de 2018: Valor $610.710.888. Objeto: construcción de módulo académico para el programa de producción hortícola de la UTP. Se evidenció en la inspección ocular a la obra, lo siguiente (Ver Tabla 14 Informe)</v>
      </c>
      <c r="D45" s="922" t="str">
        <f>'1115-F02 Informe PM'!D44</f>
        <v>Debilidades y falencias en las actividades de planeación e interventoría y supervisión contractual</v>
      </c>
      <c r="E45" s="920" t="str">
        <f>'1115-F02 Informe PM'!F44</f>
        <v>Definición e implementación un procedimiento de control y seguimiento para la planeación y ejecución de contratos de diseño, obra y adecuaciones</v>
      </c>
      <c r="F45" s="261" t="str">
        <f>'1115-F02 Informe PM'!G44</f>
        <v>Revisar todos los pasos para realizar el procedimiento de  control y seguimiento para la planeación y ejecución de contratos de diseño, obra y adecuaciones</v>
      </c>
      <c r="G45" s="248" t="str">
        <f>'1115-F02 Informe PM'!H44</f>
        <v>Oficina de Planeación</v>
      </c>
      <c r="H45" s="248" t="str">
        <f>'1115-F02 Informe PM'!I44</f>
        <v>Actas de reunión</v>
      </c>
      <c r="I45" s="248">
        <f>'1115-F02 Informe PM'!J44</f>
        <v>4</v>
      </c>
      <c r="J45" s="249">
        <f>'1115-F02 Informe PM'!L44</f>
        <v>44165</v>
      </c>
      <c r="K45" s="534">
        <v>4</v>
      </c>
      <c r="L45" s="1175" t="str">
        <f t="shared" si="0"/>
        <v>Finalizada</v>
      </c>
      <c r="M45" s="1175" t="s">
        <v>526</v>
      </c>
      <c r="N45" s="968" t="s">
        <v>429</v>
      </c>
      <c r="O45" s="968"/>
      <c r="P45" s="968"/>
      <c r="Q45" s="974"/>
      <c r="R45" s="35">
        <f t="shared" si="1"/>
        <v>1</v>
      </c>
      <c r="S45" s="26">
        <f t="shared" si="2"/>
        <v>0.33333333333333331</v>
      </c>
      <c r="T45" s="833">
        <f>(S45+S46+S47)/$V$10</f>
        <v>8.771929824561403E-3</v>
      </c>
      <c r="U45" s="949" t="str">
        <f t="shared" si="6"/>
        <v>PENDIENTE</v>
      </c>
      <c r="V45" s="860" t="str">
        <f>IF(AND(T45=$W$10),$AB$9,$AB$10)</f>
        <v>HALLAZGO PENDIENTE DE CUMPLIMIENTO DE ACCION</v>
      </c>
      <c r="W45" s="513" t="s">
        <v>93</v>
      </c>
      <c r="X45" s="513">
        <f t="shared" si="3"/>
        <v>3</v>
      </c>
      <c r="Y45" s="862">
        <f>AVERAGE(X45:X47)</f>
        <v>1.6666666666666667</v>
      </c>
      <c r="Z45" s="865" t="str">
        <f t="shared" ref="Z45" si="8">IF(Y45=3,$AB$5,IF(Y45=0,$AB$7,$AB$6))</f>
        <v>ACCION(ES) PARCIALMENTE CUMPLIDA(S)</v>
      </c>
      <c r="AA45" s="865" t="str">
        <f t="shared" ref="AA45" si="9">IF(Z45=$AB$5,$AB$5,IF(Z45=$AB$7,$AB$7,$AB$6))</f>
        <v>ACCION(ES) PARCIALMENTE CUMPLIDA(S)</v>
      </c>
      <c r="AB45" s="868" t="s">
        <v>475</v>
      </c>
      <c r="AC45" s="935" t="s">
        <v>100</v>
      </c>
      <c r="AD45" s="868" t="s">
        <v>476</v>
      </c>
      <c r="AE45" s="873" t="str">
        <f>IF(AND(AA45=$AB$5, AC45=$AC$5),$AD$5,IF(AND(AA45=$AB$6, AC45=$AC$7),$AD$7,IF(AND(AA45=$AB$5, AC45=$AC$7),$AD$7,$AD$6)))</f>
        <v>HALLAZGO PENDIENTE DE EVALUACION - Acciones no finalizadas, o acciones que siendo finalizadas, no se puede comprobar la efectividad en el periodo.</v>
      </c>
      <c r="AF45" s="950"/>
    </row>
    <row r="46" spans="1:32" s="27" customFormat="1" ht="68.25" customHeight="1" x14ac:dyDescent="0.2">
      <c r="A46" s="980"/>
      <c r="B46" s="899"/>
      <c r="C46" s="925"/>
      <c r="D46" s="923"/>
      <c r="E46" s="921"/>
      <c r="F46" s="259" t="str">
        <f>'1115-F02 Informe PM'!G45</f>
        <v>Documentar y adoptar el procedimiento de control y seguimiento para la planeación y ejecución de contratos de diseño, obra y adecuaciones</v>
      </c>
      <c r="G46" s="217" t="str">
        <f>'1115-F02 Informe PM'!H45</f>
        <v>Oficina de Planeación</v>
      </c>
      <c r="H46" s="217" t="str">
        <f>'1115-F02 Informe PM'!I45</f>
        <v xml:space="preserve">Documento </v>
      </c>
      <c r="I46" s="217">
        <f>'1115-F02 Informe PM'!J45</f>
        <v>1</v>
      </c>
      <c r="J46" s="218">
        <f>'1115-F02 Informe PM'!L45</f>
        <v>44316</v>
      </c>
      <c r="K46" s="367">
        <v>0</v>
      </c>
      <c r="L46" s="1172" t="str">
        <f t="shared" si="0"/>
        <v xml:space="preserve">Vigente </v>
      </c>
      <c r="M46" s="1175" t="s">
        <v>526</v>
      </c>
      <c r="N46" s="952" t="s">
        <v>494</v>
      </c>
      <c r="O46" s="952"/>
      <c r="P46" s="952"/>
      <c r="Q46" s="953"/>
      <c r="R46" s="36">
        <f t="shared" si="1"/>
        <v>0</v>
      </c>
      <c r="S46" s="28">
        <f t="shared" si="2"/>
        <v>0</v>
      </c>
      <c r="T46" s="834"/>
      <c r="U46" s="942"/>
      <c r="V46" s="876"/>
      <c r="W46" s="515" t="s">
        <v>94</v>
      </c>
      <c r="X46" s="515">
        <f t="shared" si="3"/>
        <v>2</v>
      </c>
      <c r="Y46" s="864"/>
      <c r="Z46" s="866"/>
      <c r="AA46" s="866"/>
      <c r="AB46" s="869"/>
      <c r="AC46" s="936"/>
      <c r="AD46" s="869"/>
      <c r="AE46" s="874"/>
      <c r="AF46" s="857"/>
    </row>
    <row r="47" spans="1:32" s="27" customFormat="1" ht="63.75" customHeight="1" thickBot="1" x14ac:dyDescent="0.25">
      <c r="A47" s="981"/>
      <c r="B47" s="888"/>
      <c r="C47" s="886"/>
      <c r="D47" s="884"/>
      <c r="E47" s="882"/>
      <c r="F47" s="260" t="str">
        <f>'1115-F02 Informe PM'!G46</f>
        <v>Socializar al equipo de trabajo el procedimiento de  control y seguimiento para la planeación y ejecución de contratos de diseño, obra y adecuaciones</v>
      </c>
      <c r="G47" s="215" t="str">
        <f>'1115-F02 Informe PM'!H46</f>
        <v>Oficina de Planeación</v>
      </c>
      <c r="H47" s="215" t="str">
        <f>'1115-F02 Informe PM'!I46</f>
        <v xml:space="preserve">Acta de socialización </v>
      </c>
      <c r="I47" s="215">
        <f>'1115-F02 Informe PM'!J46</f>
        <v>2</v>
      </c>
      <c r="J47" s="216">
        <f>'1115-F02 Informe PM'!L46</f>
        <v>44347</v>
      </c>
      <c r="K47" s="368">
        <v>0</v>
      </c>
      <c r="L47" s="1174" t="str">
        <f t="shared" si="0"/>
        <v xml:space="preserve">Vigente </v>
      </c>
      <c r="M47" s="1174" t="s">
        <v>526</v>
      </c>
      <c r="N47" s="956" t="s">
        <v>495</v>
      </c>
      <c r="O47" s="957"/>
      <c r="P47" s="957"/>
      <c r="Q47" s="958"/>
      <c r="R47" s="48">
        <f t="shared" si="1"/>
        <v>0</v>
      </c>
      <c r="S47" s="49">
        <f t="shared" si="2"/>
        <v>0</v>
      </c>
      <c r="T47" s="847"/>
      <c r="U47" s="943"/>
      <c r="V47" s="890"/>
      <c r="W47" s="522"/>
      <c r="X47" s="522">
        <f t="shared" si="3"/>
        <v>0</v>
      </c>
      <c r="Y47" s="889"/>
      <c r="Z47" s="933"/>
      <c r="AA47" s="933"/>
      <c r="AB47" s="934"/>
      <c r="AC47" s="937"/>
      <c r="AD47" s="934"/>
      <c r="AE47" s="941"/>
      <c r="AF47" s="951"/>
    </row>
    <row r="48" spans="1:32" s="27" customFormat="1" ht="120.75" customHeight="1" x14ac:dyDescent="0.2">
      <c r="A48" s="979">
        <f>'1115-F02 Informe PM'!A47</f>
        <v>11</v>
      </c>
      <c r="B48" s="926" t="str">
        <f>'1115-F02 Informe PM'!B47</f>
        <v>11-2019</v>
      </c>
      <c r="C48" s="924" t="str">
        <f>'1115-F02 Informe PM'!C47</f>
        <v>HALLAZGO 11 CONTRATO 5628 DE 2018 BLOQUE G MEDICINA 
En visita técnica realizada a la Universidad Tecnológica de Pereira, a las obras ejecutadas según contratos de obra 5628 de 2018, se evidenció lo siguiente: 
Contrato 5628 de 2018: Objeto: construcción de pavimento y obras complementarias en acceso a la entrada g de la UTP. Valor total: $93.700.000.
En la Inspección ocular llevada a cabo el día 27 de febrero de 2020, se evidenció un daño superficial del tipo “desintegración” de severidad media en dos platos del pavimento en concreto hidráulico, en el sector donde inicia la aguja de acceso al parqueadero, que corresponde geométricamente a un trapecio con bases de 3.7 mts y 4.9 mts y una altura de 3.4 mts, para un área total afectada de 14.62 metros cuadrados, cuyo costo directo fue de $1.608.200, e incluyendo el AIU del 37.87%, arroja un valor de $2.217.225,3. También se observó pulimiento en algunos platos. (Ver tabla 15 Informe)</v>
      </c>
      <c r="D48" s="922" t="str">
        <f>'1115-F02 Informe PM'!D47</f>
        <v>Debilidades y falencias en las actividades de planeación e interventoría y supervisión contractual</v>
      </c>
      <c r="E48" s="920" t="str">
        <f>'1115-F02 Informe PM'!F47</f>
        <v>Definición e implementación un procedimiento de control y seguimiento para la planeación y ejecución de contratos de diseño, obra y adecuaciones</v>
      </c>
      <c r="F48" s="261" t="str">
        <f>'1115-F02 Informe PM'!G47</f>
        <v>Revisar todos los pasos para realizar el procedimiento de  control y seguimiento para la planeación y ejecución de contratos de diseño, obra y adecuaciones</v>
      </c>
      <c r="G48" s="248" t="str">
        <f>'1115-F02 Informe PM'!H47</f>
        <v>Oficina de Planeación</v>
      </c>
      <c r="H48" s="248" t="str">
        <f>'1115-F02 Informe PM'!I47</f>
        <v>Actas de reunión</v>
      </c>
      <c r="I48" s="248">
        <f>'1115-F02 Informe PM'!J47</f>
        <v>4</v>
      </c>
      <c r="J48" s="249">
        <f>'1115-F02 Informe PM'!L47</f>
        <v>44165</v>
      </c>
      <c r="K48" s="534">
        <v>4</v>
      </c>
      <c r="L48" s="1175" t="str">
        <f t="shared" ref="L48:L79" si="10">IF(K48=I48,$AA$9,IF(AND(K48&lt;I48,J48&lt;$D$11),$AA$10,$AA$11))</f>
        <v>Finalizada</v>
      </c>
      <c r="M48" s="1175" t="s">
        <v>526</v>
      </c>
      <c r="N48" s="968" t="s">
        <v>429</v>
      </c>
      <c r="O48" s="968"/>
      <c r="P48" s="968"/>
      <c r="Q48" s="974"/>
      <c r="R48" s="35">
        <f t="shared" si="1"/>
        <v>1</v>
      </c>
      <c r="S48" s="26">
        <f t="shared" si="2"/>
        <v>0.33333333333333331</v>
      </c>
      <c r="T48" s="833">
        <f>(S48+S49+S50)/$V$10</f>
        <v>8.771929824561403E-3</v>
      </c>
      <c r="U48" s="949" t="str">
        <f>IF(T48=$W$10, "CUMPLIDA", "PENDIENTE")</f>
        <v>PENDIENTE</v>
      </c>
      <c r="V48" s="860" t="str">
        <f>IF(AND(T48=$W$10),$AB$9,$AB$10)</f>
        <v>HALLAZGO PENDIENTE DE CUMPLIMIENTO DE ACCION</v>
      </c>
      <c r="W48" s="513" t="s">
        <v>93</v>
      </c>
      <c r="X48" s="513">
        <f t="shared" si="3"/>
        <v>3</v>
      </c>
      <c r="Y48" s="862">
        <f>AVERAGE(X48:X50)</f>
        <v>1.6666666666666667</v>
      </c>
      <c r="Z48" s="865" t="str">
        <f t="shared" ref="Z48" si="11">IF(Y48=3,$AB$5,IF(Y48=0,$AB$7,$AB$6))</f>
        <v>ACCION(ES) PARCIALMENTE CUMPLIDA(S)</v>
      </c>
      <c r="AA48" s="865" t="str">
        <f t="shared" ref="AA48" si="12">IF(Z48=$AB$5,$AB$5,IF(Z48=$AB$7,$AB$7,$AB$6))</f>
        <v>ACCION(ES) PARCIALMENTE CUMPLIDA(S)</v>
      </c>
      <c r="AB48" s="868" t="s">
        <v>475</v>
      </c>
      <c r="AC48" s="935" t="s">
        <v>100</v>
      </c>
      <c r="AD48" s="868" t="s">
        <v>476</v>
      </c>
      <c r="AE48" s="873" t="str">
        <f>IF(AND(AA48=$AB$5, AC48=$AC$5),$AD$5,IF(AND(AA48=$AB$6, AC48=$AC$7),$AD$7,IF(AND(AA48=$AB$5, AC48=$AC$7),$AD$7,$AD$6)))</f>
        <v>HALLAZGO PENDIENTE DE EVALUACION - Acciones no finalizadas, o acciones que siendo finalizadas, no se puede comprobar la efectividad en el periodo.</v>
      </c>
      <c r="AF48" s="950"/>
    </row>
    <row r="49" spans="1:32" s="27" customFormat="1" ht="67.5" customHeight="1" x14ac:dyDescent="0.2">
      <c r="A49" s="980"/>
      <c r="B49" s="899"/>
      <c r="C49" s="925"/>
      <c r="D49" s="923"/>
      <c r="E49" s="921"/>
      <c r="F49" s="259" t="str">
        <f>'1115-F02 Informe PM'!G48</f>
        <v>Documentar y adoptar el procedimiento de control y seguimiento para la planeación y ejecución de contratos de diseño, obra y adecuaciones</v>
      </c>
      <c r="G49" s="217" t="str">
        <f>'1115-F02 Informe PM'!H48</f>
        <v>Oficina de Planeación</v>
      </c>
      <c r="H49" s="217" t="str">
        <f>'1115-F02 Informe PM'!I48</f>
        <v xml:space="preserve">Documento </v>
      </c>
      <c r="I49" s="217">
        <f>'1115-F02 Informe PM'!J48</f>
        <v>1</v>
      </c>
      <c r="J49" s="218">
        <f>'1115-F02 Informe PM'!L48</f>
        <v>44316</v>
      </c>
      <c r="K49" s="367">
        <v>0</v>
      </c>
      <c r="L49" s="1172" t="str">
        <f t="shared" si="10"/>
        <v xml:space="preserve">Vigente </v>
      </c>
      <c r="M49" s="1175" t="s">
        <v>526</v>
      </c>
      <c r="N49" s="952" t="s">
        <v>494</v>
      </c>
      <c r="O49" s="952"/>
      <c r="P49" s="952"/>
      <c r="Q49" s="953"/>
      <c r="R49" s="36">
        <f t="shared" si="1"/>
        <v>0</v>
      </c>
      <c r="S49" s="28">
        <f t="shared" si="2"/>
        <v>0</v>
      </c>
      <c r="T49" s="834"/>
      <c r="U49" s="942"/>
      <c r="V49" s="876"/>
      <c r="W49" s="515" t="s">
        <v>94</v>
      </c>
      <c r="X49" s="515">
        <f t="shared" si="3"/>
        <v>2</v>
      </c>
      <c r="Y49" s="864"/>
      <c r="Z49" s="866"/>
      <c r="AA49" s="866"/>
      <c r="AB49" s="869"/>
      <c r="AC49" s="936"/>
      <c r="AD49" s="869"/>
      <c r="AE49" s="874"/>
      <c r="AF49" s="857"/>
    </row>
    <row r="50" spans="1:32" s="27" customFormat="1" ht="60.75" customHeight="1" thickBot="1" x14ac:dyDescent="0.25">
      <c r="A50" s="981"/>
      <c r="B50" s="888"/>
      <c r="C50" s="886"/>
      <c r="D50" s="884"/>
      <c r="E50" s="882"/>
      <c r="F50" s="260" t="str">
        <f>'1115-F02 Informe PM'!G49</f>
        <v>Socializar al equipo de trabajo el procedimiento de  control y seguimiento para la planeación y ejecución de contratos de diseño, obra y adecuaciones</v>
      </c>
      <c r="G50" s="215" t="str">
        <f>'1115-F02 Informe PM'!H49</f>
        <v>Oficina de Planeación</v>
      </c>
      <c r="H50" s="215" t="str">
        <f>'1115-F02 Informe PM'!I49</f>
        <v xml:space="preserve">Acta de socialización </v>
      </c>
      <c r="I50" s="215">
        <f>'1115-F02 Informe PM'!J49</f>
        <v>2</v>
      </c>
      <c r="J50" s="216">
        <f>'1115-F02 Informe PM'!L49</f>
        <v>44347</v>
      </c>
      <c r="K50" s="368">
        <v>0</v>
      </c>
      <c r="L50" s="1174" t="str">
        <f t="shared" si="10"/>
        <v xml:space="preserve">Vigente </v>
      </c>
      <c r="M50" s="1174" t="s">
        <v>526</v>
      </c>
      <c r="N50" s="956" t="s">
        <v>495</v>
      </c>
      <c r="O50" s="957"/>
      <c r="P50" s="957"/>
      <c r="Q50" s="958"/>
      <c r="R50" s="48">
        <f t="shared" si="1"/>
        <v>0</v>
      </c>
      <c r="S50" s="49">
        <f t="shared" si="2"/>
        <v>0</v>
      </c>
      <c r="T50" s="847"/>
      <c r="U50" s="943"/>
      <c r="V50" s="890"/>
      <c r="W50" s="522"/>
      <c r="X50" s="522">
        <f t="shared" si="3"/>
        <v>0</v>
      </c>
      <c r="Y50" s="889"/>
      <c r="Z50" s="933"/>
      <c r="AA50" s="933"/>
      <c r="AB50" s="934"/>
      <c r="AC50" s="937"/>
      <c r="AD50" s="934"/>
      <c r="AE50" s="941"/>
      <c r="AF50" s="951"/>
    </row>
    <row r="51" spans="1:32" s="27" customFormat="1" ht="134.25" customHeight="1" x14ac:dyDescent="0.2">
      <c r="A51" s="979">
        <f>'1115-F02 Informe PM'!A50</f>
        <v>12</v>
      </c>
      <c r="B51" s="926" t="str">
        <f>'1115-F02 Informe PM'!B50</f>
        <v>12-2019</v>
      </c>
      <c r="C51" s="924" t="str">
        <f>'1115-F02 Informe PM'!C50</f>
        <v>HALLAZGO 12 CONTRATO 5613 DE 2018 OBRAS ESCENARIO DEPORTIVO ETAPA 2 
La Universidad Tecnológica de Pereira, suscribió el contrato de obra 5613 el 12 de octubre de 2018, liquidado 23 de noviembre de 2019, para la construcción de la Etapa N° 02 de los nuevos escenarios deportivos, por $581.651.043. 
En el proceso de verificación de la ejecución del contrato, mediante visita de inspección física al sitio de ejecución de las obras y análisis de información documental, se encontraron las siguientes deficiencias:
1. En el ítem nuevo 13.23 “Baranda en acero inoxidable con pasamanos en tubería de 2 pulgadas”, un hilo en tubería de 1½ pulgada y dos hilos en tubería de 1 pulgada, parales en platina de acero inoxidable cada 1,0 m”, se evidenció que:
No se cumplieron las especificaciones técnicas de la actividad, ya que no se respetó la distancia de los parales cada 1,0 m. Se encontraron espaciamientos entre parales de barandas de hasta 1,16 m para el área de las graderías, 1,50 m para el área de la rampa de acceso a recepción, 1,22 m para el acceso al gimnasio abierto, 1,60 m para el área de pasillo recepción, 1,55 m en escaleras tramo superior, 1,83m en escaleras tramo inferior y, 1,65 m, 1,55 m, 1,20 m para el área de conexión del gimnasio abierto con el cerrado. 
No se respetaron las dimensiones de la tubería. Se encontró que, en las barandas de las áreas de rampa de acceso a recepción, área de acceso a gimnasio abierto, área de pasillo recepción, área de conexión entre gimnasios abierto y cerrado, así como los tramos superior e inferior de la escalera, se instaló un hilo en tubería de 1¼ pulgada, en vez de un hilo en tubería de 1½ pulgada, como lo requería y especificaba el ítem.
Algunas barandas presentan inestabilidad, como las barandas de las rampas de acceso a gimnasio abierto y rampa de acceso al área de recepción. 
Las irregularidades descritas en la ejecución del ítem de las barandas, generan un menoscabo al patrimonio por $19.594.018,08, por concepto de producto recibido y pagado, no conforme a las especificaciones contractuales establecidas. (ver Tabla 16 Informe)
2. Se evidenció que a través del ítem 7.02 “Sanitario Institucional ADRIÁTICO de CORONA color blanco para baños de personas con movilidad reducida PMR; con sistema de válvula antivandálica de empotrar tipo push”, se pagó un sanitario convencional Corona de dos piezas (taza con tanque superior), con sistema de vaciado de manija frontal, el cual no corresponde con las especificaciones técnicas requeridas contractualmente por la universidad ni con la propuesta económica del contratista. Esta actividad ejecutada en el baño para personas con movilidad reducida en el módulo de recepción, genera un detrimento al patrimonio por $1.139.599,24, correspondiente al pago del ítem 7.02 (AIU incluido). Producto recibido y pagado no conforme a las especificaciones contractuales.
3. Se evidenció que en la ejecución de la actividad 7.03 “Accesorios ortopédicos en acero inoxidable para baños de personas con movilidad reducida PMR conformado por 1 barra abatible y barra de apoyo a muro, referencia CORONA”, no se instaló la barra abatible o plegable, tal como lo exigían las especificaciones técnicas contractuales. Esta actividad ejecutada en el baño para personas con movilidad reducida en el módulo de recepción, genera un detrimento al patrimonio por $493.487,06, correspondiente al pago del ítem 7.03 (AIU incluido). Producto recibido y pagado no conforme a las especificaciones contractuales.
4. En la actividad 10.01 “Adoquín peatonal 0.20mx0.10mx0.06m color gris.  Incluye arena de base y sello” y actividad 10.02 “Adoquín peatonal 0.20mx0.10mx0.06m color amarillo Incluye arena de base y sello” por $72.367 m2, se pagaron mayores cantidades a las realmente ejecutadas acumuladas para los dos ítems, por $1.218.398 así (Ver tabla 17)
En resumen, las deficiencias encontradas ascienden a $22.445.502, por actividades ejecutadas, recibidas y pagadas, no conforme a las especificaciones contractuales establecidas y mayores cantidades pagadas a las realmente ejecutadas, así (Ver tabla 18 Informe)</v>
      </c>
      <c r="D51" s="922" t="str">
        <f>'1115-F02 Informe PM'!D50</f>
        <v>Debilidades en las labores de verificación técnica en la ejecución de las actividades mencionadas</v>
      </c>
      <c r="E51" s="920" t="str">
        <f>'1115-F02 Informe PM'!F50</f>
        <v>Definición e implementación un procedimiento de control y seguimiento para la planeación y ejecución de contratos de diseño, obra y adecuaciones</v>
      </c>
      <c r="F51" s="261" t="str">
        <f>'1115-F02 Informe PM'!G50</f>
        <v>Revisar todos los pasos para realizar el procedimiento de  control y seguimiento para la planeación y ejecución de contratos de diseño, obra y adecuaciones</v>
      </c>
      <c r="G51" s="248" t="str">
        <f>'1115-F02 Informe PM'!H50</f>
        <v>Oficina de Planeación</v>
      </c>
      <c r="H51" s="248" t="str">
        <f>'1115-F02 Informe PM'!I50</f>
        <v>Actas de reunión</v>
      </c>
      <c r="I51" s="248">
        <f>'1115-F02 Informe PM'!J50</f>
        <v>4</v>
      </c>
      <c r="J51" s="249">
        <f>'1115-F02 Informe PM'!L50</f>
        <v>44165</v>
      </c>
      <c r="K51" s="534">
        <v>4</v>
      </c>
      <c r="L51" s="1175" t="str">
        <f t="shared" si="10"/>
        <v>Finalizada</v>
      </c>
      <c r="M51" s="1175" t="s">
        <v>526</v>
      </c>
      <c r="N51" s="968" t="s">
        <v>429</v>
      </c>
      <c r="O51" s="968"/>
      <c r="P51" s="968"/>
      <c r="Q51" s="974"/>
      <c r="R51" s="36">
        <f t="shared" si="1"/>
        <v>1</v>
      </c>
      <c r="S51" s="28">
        <f t="shared" si="2"/>
        <v>0.33333333333333331</v>
      </c>
      <c r="T51" s="834">
        <f>(S51+S52+S53)/$V$10</f>
        <v>8.771929824561403E-3</v>
      </c>
      <c r="U51" s="942" t="str">
        <f>IF(T51=$W$10, "CUMPLIDA", "PENDIENTE")</f>
        <v>PENDIENTE</v>
      </c>
      <c r="V51" s="876" t="str">
        <f>IF(AND(T51=$W$10),$AB$9,$AB$10)</f>
        <v>HALLAZGO PENDIENTE DE CUMPLIMIENTO DE ACCION</v>
      </c>
      <c r="W51" s="515" t="s">
        <v>93</v>
      </c>
      <c r="X51" s="515">
        <f t="shared" si="3"/>
        <v>3</v>
      </c>
      <c r="Y51" s="864">
        <f>AVERAGE(X51:X53)</f>
        <v>1.6666666666666667</v>
      </c>
      <c r="Z51" s="865" t="str">
        <f t="shared" ref="Z51" si="13">IF(Y51=3,$AB$5,IF(Y51=0,$AB$7,$AB$6))</f>
        <v>ACCION(ES) PARCIALMENTE CUMPLIDA(S)</v>
      </c>
      <c r="AA51" s="865" t="str">
        <f t="shared" ref="AA51" si="14">IF(Z51=$AB$5,$AB$5,IF(Z51=$AB$7,$AB$7,$AB$6))</f>
        <v>ACCION(ES) PARCIALMENTE CUMPLIDA(S)</v>
      </c>
      <c r="AB51" s="869" t="s">
        <v>475</v>
      </c>
      <c r="AC51" s="936" t="s">
        <v>100</v>
      </c>
      <c r="AD51" s="869" t="s">
        <v>476</v>
      </c>
      <c r="AE51" s="874" t="str">
        <f>IF(AND(AA51=$AB$5, AC51=$AC$5),$AD$5,IF(AND(AA51=$AB$6, AC51=$AC$7),$AD$7,IF(AND(AA51=$AB$5, AC51=$AC$7),$AD$7,$AD$6)))</f>
        <v>HALLAZGO PENDIENTE DE EVALUACION - Acciones no finalizadas, o acciones que siendo finalizadas, no se puede comprobar la efectividad en el periodo.</v>
      </c>
      <c r="AF51" s="841"/>
    </row>
    <row r="52" spans="1:32" s="27" customFormat="1" ht="78" customHeight="1" x14ac:dyDescent="0.2">
      <c r="A52" s="980"/>
      <c r="B52" s="899"/>
      <c r="C52" s="925"/>
      <c r="D52" s="923"/>
      <c r="E52" s="921"/>
      <c r="F52" s="259" t="str">
        <f>'1115-F02 Informe PM'!G51</f>
        <v>Documentar y adoptar el procedimiento de control y seguimiento para la planeación y ejecución de contratos de diseño, obra y adecuaciones</v>
      </c>
      <c r="G52" s="217" t="str">
        <f>'1115-F02 Informe PM'!H51</f>
        <v>Oficina de Planeación</v>
      </c>
      <c r="H52" s="217" t="str">
        <f>'1115-F02 Informe PM'!I51</f>
        <v xml:space="preserve">Documento </v>
      </c>
      <c r="I52" s="217">
        <f>'1115-F02 Informe PM'!J51</f>
        <v>1</v>
      </c>
      <c r="J52" s="218">
        <f>'1115-F02 Informe PM'!L51</f>
        <v>44316</v>
      </c>
      <c r="K52" s="367">
        <v>0</v>
      </c>
      <c r="L52" s="1172" t="str">
        <f t="shared" si="10"/>
        <v xml:space="preserve">Vigente </v>
      </c>
      <c r="M52" s="1175" t="s">
        <v>526</v>
      </c>
      <c r="N52" s="952" t="s">
        <v>494</v>
      </c>
      <c r="O52" s="952"/>
      <c r="P52" s="952"/>
      <c r="Q52" s="953"/>
      <c r="R52" s="36">
        <f t="shared" si="1"/>
        <v>0</v>
      </c>
      <c r="S52" s="28">
        <f t="shared" si="2"/>
        <v>0</v>
      </c>
      <c r="T52" s="834"/>
      <c r="U52" s="942"/>
      <c r="V52" s="876"/>
      <c r="W52" s="515" t="s">
        <v>94</v>
      </c>
      <c r="X52" s="515">
        <f t="shared" si="3"/>
        <v>2</v>
      </c>
      <c r="Y52" s="864"/>
      <c r="Z52" s="866"/>
      <c r="AA52" s="866"/>
      <c r="AB52" s="869"/>
      <c r="AC52" s="936"/>
      <c r="AD52" s="869"/>
      <c r="AE52" s="874"/>
      <c r="AF52" s="841"/>
    </row>
    <row r="53" spans="1:32" s="27" customFormat="1" ht="114" customHeight="1" thickBot="1" x14ac:dyDescent="0.25">
      <c r="A53" s="981"/>
      <c r="B53" s="888"/>
      <c r="C53" s="886"/>
      <c r="D53" s="884"/>
      <c r="E53" s="882"/>
      <c r="F53" s="260" t="str">
        <f>'1115-F02 Informe PM'!G52</f>
        <v>Socializar al equipo de trabajo el procedimiento de  control y seguimiento para la planeación y ejecución de contratos de diseño, obra y adecuaciones</v>
      </c>
      <c r="G53" s="215" t="str">
        <f>'1115-F02 Informe PM'!H52</f>
        <v>Oficina de Planeación</v>
      </c>
      <c r="H53" s="215" t="str">
        <f>'1115-F02 Informe PM'!I52</f>
        <v xml:space="preserve">Acta de socialización </v>
      </c>
      <c r="I53" s="215">
        <f>'1115-F02 Informe PM'!J52</f>
        <v>2</v>
      </c>
      <c r="J53" s="216">
        <f>'1115-F02 Informe PM'!L52</f>
        <v>44347</v>
      </c>
      <c r="K53" s="368">
        <v>0</v>
      </c>
      <c r="L53" s="1174" t="str">
        <f t="shared" si="10"/>
        <v xml:space="preserve">Vigente </v>
      </c>
      <c r="M53" s="1174" t="s">
        <v>526</v>
      </c>
      <c r="N53" s="956" t="s">
        <v>495</v>
      </c>
      <c r="O53" s="957"/>
      <c r="P53" s="957"/>
      <c r="Q53" s="958"/>
      <c r="R53" s="48">
        <f t="shared" si="1"/>
        <v>0</v>
      </c>
      <c r="S53" s="49">
        <f t="shared" si="2"/>
        <v>0</v>
      </c>
      <c r="T53" s="847"/>
      <c r="U53" s="943"/>
      <c r="V53" s="890"/>
      <c r="W53" s="522"/>
      <c r="X53" s="522">
        <f t="shared" si="3"/>
        <v>0</v>
      </c>
      <c r="Y53" s="889"/>
      <c r="Z53" s="933"/>
      <c r="AA53" s="933"/>
      <c r="AB53" s="934"/>
      <c r="AC53" s="937"/>
      <c r="AD53" s="934"/>
      <c r="AE53" s="941"/>
      <c r="AF53" s="842"/>
    </row>
    <row r="54" spans="1:32" s="27" customFormat="1" ht="129" customHeight="1" x14ac:dyDescent="0.2">
      <c r="A54" s="979">
        <f>'1115-F02 Informe PM'!A53</f>
        <v>13</v>
      </c>
      <c r="B54" s="926" t="str">
        <f>'1115-F02 Informe PM'!B53</f>
        <v>13-2019</v>
      </c>
      <c r="C54" s="924" t="str">
        <f>'1115-F02 Informe PM'!C53</f>
        <v>HALLAZGO 13 CONTRATO 5660 DE 2018 
La Universidad Tecnológica de Pereira, suscribió el contrato de obra 5660 de 2018, liquidado el 20 de septiembre del 2019, el cual tiene por objeto: Adecuación funcional laboratorios de Química ambiental y procesos biológicos en la facultad de ciencias ambientales de la UTP, por $ 262.891.547 y pagado por el mismo valor. 
En la inspección ocular llevada a cabo el día 17 y 19 de marzo de 2020, en compañía de la ingeniera de la oficina de planeación, se evidenció el recibo y pago de algunos ítems que no cumplen las especificaciones técnicas estipuladas en el contrato, y pago de mayor cantidad de obra, como lo muestra el siguiente cuadro (ver tabla 19 Informe)</v>
      </c>
      <c r="D54" s="922" t="str">
        <f>'1115-F02 Informe PM'!D53</f>
        <v>Debilidades y falencias en las actividades de supervisión e interventoría, lo cual ocasionó que se recibieran y pagaran ítems sin cumplimiento de las especificaciones técnicas, mayores cantidades</v>
      </c>
      <c r="E54" s="920" t="str">
        <f>'1115-F02 Informe PM'!F53</f>
        <v>Definición e implementación un procedimiento de control y seguimiento para la planeación y ejecución de contratos de diseño, obra y adecuaciones</v>
      </c>
      <c r="F54" s="261" t="str">
        <f>'1115-F02 Informe PM'!G53</f>
        <v>Revisar todos los pasos para realizar el procedimiento de  control y seguimiento para la planeación y ejecución de contratos de diseño, obra y adecuaciones</v>
      </c>
      <c r="G54" s="248" t="str">
        <f>'1115-F02 Informe PM'!H53</f>
        <v>Oficina de Planeación</v>
      </c>
      <c r="H54" s="248" t="str">
        <f>'1115-F02 Informe PM'!I53</f>
        <v>Actas de reunión</v>
      </c>
      <c r="I54" s="248">
        <f>'1115-F02 Informe PM'!J53</f>
        <v>4</v>
      </c>
      <c r="J54" s="249">
        <f>'1115-F02 Informe PM'!L53</f>
        <v>44165</v>
      </c>
      <c r="K54" s="534">
        <v>4</v>
      </c>
      <c r="L54" s="1175" t="str">
        <f t="shared" si="10"/>
        <v>Finalizada</v>
      </c>
      <c r="M54" s="1175" t="s">
        <v>526</v>
      </c>
      <c r="N54" s="968" t="s">
        <v>429</v>
      </c>
      <c r="O54" s="968"/>
      <c r="P54" s="968"/>
      <c r="Q54" s="974"/>
      <c r="R54" s="35">
        <f t="shared" si="1"/>
        <v>1</v>
      </c>
      <c r="S54" s="26">
        <f t="shared" si="2"/>
        <v>0.33333333333333331</v>
      </c>
      <c r="T54" s="833">
        <f>(S54+S55+S56)/$V$10</f>
        <v>8.771929824561403E-3</v>
      </c>
      <c r="U54" s="949" t="str">
        <f>IF(T54=$W$10, "CUMPLIDA", "PENDIENTE")</f>
        <v>PENDIENTE</v>
      </c>
      <c r="V54" s="860" t="str">
        <f>IF(AND(T54=$W$10),$AB$9,$AB$10)</f>
        <v>HALLAZGO PENDIENTE DE CUMPLIMIENTO DE ACCION</v>
      </c>
      <c r="W54" s="513" t="s">
        <v>93</v>
      </c>
      <c r="X54" s="513">
        <f t="shared" si="3"/>
        <v>3</v>
      </c>
      <c r="Y54" s="862">
        <f>AVERAGE(X54:X56)</f>
        <v>1.6666666666666667</v>
      </c>
      <c r="Z54" s="865" t="str">
        <f t="shared" ref="Z54" si="15">IF(Y54=3,$AB$5,IF(Y54=0,$AB$7,$AB$6))</f>
        <v>ACCION(ES) PARCIALMENTE CUMPLIDA(S)</v>
      </c>
      <c r="AA54" s="865" t="str">
        <f t="shared" ref="AA54" si="16">IF(Z54=$AB$5,$AB$5,IF(Z54=$AB$7,$AB$7,$AB$6))</f>
        <v>ACCION(ES) PARCIALMENTE CUMPLIDA(S)</v>
      </c>
      <c r="AB54" s="868" t="s">
        <v>475</v>
      </c>
      <c r="AC54" s="935" t="s">
        <v>100</v>
      </c>
      <c r="AD54" s="868" t="s">
        <v>476</v>
      </c>
      <c r="AE54" s="873" t="str">
        <f>IF(AND(AA54=$AB$5, AC54=$AC$5),$AD$5,IF(AND(AA54=$AB$6, AC54=$AC$7),$AD$7,IF(AND(AA54=$AB$5, AC54=$AC$7),$AD$7,$AD$6)))</f>
        <v>HALLAZGO PENDIENTE DE EVALUACION - Acciones no finalizadas, o acciones que siendo finalizadas, no se puede comprobar la efectividad en el periodo.</v>
      </c>
      <c r="AF54" s="950"/>
    </row>
    <row r="55" spans="1:32" s="27" customFormat="1" ht="77.25" customHeight="1" x14ac:dyDescent="0.2">
      <c r="A55" s="980"/>
      <c r="B55" s="899"/>
      <c r="C55" s="925"/>
      <c r="D55" s="923"/>
      <c r="E55" s="921"/>
      <c r="F55" s="259" t="str">
        <f>'1115-F02 Informe PM'!G54</f>
        <v>Documentar y adoptar el procedimiento de control y seguimiento para la planeación y ejecución de contratos de diseño, obra y adecuaciones</v>
      </c>
      <c r="G55" s="217" t="str">
        <f>'1115-F02 Informe PM'!H54</f>
        <v>Oficina de Planeación</v>
      </c>
      <c r="H55" s="217" t="str">
        <f>'1115-F02 Informe PM'!I54</f>
        <v xml:space="preserve">Documento </v>
      </c>
      <c r="I55" s="217">
        <f>'1115-F02 Informe PM'!J54</f>
        <v>1</v>
      </c>
      <c r="J55" s="218">
        <f>'1115-F02 Informe PM'!L54</f>
        <v>44316</v>
      </c>
      <c r="K55" s="367">
        <v>0</v>
      </c>
      <c r="L55" s="1172" t="str">
        <f t="shared" si="10"/>
        <v xml:space="preserve">Vigente </v>
      </c>
      <c r="M55" s="1175" t="s">
        <v>526</v>
      </c>
      <c r="N55" s="952" t="s">
        <v>494</v>
      </c>
      <c r="O55" s="952"/>
      <c r="P55" s="952"/>
      <c r="Q55" s="953"/>
      <c r="R55" s="36">
        <f t="shared" si="1"/>
        <v>0</v>
      </c>
      <c r="S55" s="28">
        <f t="shared" si="2"/>
        <v>0</v>
      </c>
      <c r="T55" s="834"/>
      <c r="U55" s="942"/>
      <c r="V55" s="876"/>
      <c r="W55" s="515" t="s">
        <v>94</v>
      </c>
      <c r="X55" s="515">
        <f t="shared" si="3"/>
        <v>2</v>
      </c>
      <c r="Y55" s="864"/>
      <c r="Z55" s="866"/>
      <c r="AA55" s="866"/>
      <c r="AB55" s="869"/>
      <c r="AC55" s="936"/>
      <c r="AD55" s="869"/>
      <c r="AE55" s="874"/>
      <c r="AF55" s="857"/>
    </row>
    <row r="56" spans="1:32" s="27" customFormat="1" ht="60" customHeight="1" thickBot="1" x14ac:dyDescent="0.25">
      <c r="A56" s="981"/>
      <c r="B56" s="888"/>
      <c r="C56" s="886"/>
      <c r="D56" s="884"/>
      <c r="E56" s="882"/>
      <c r="F56" s="260" t="str">
        <f>'1115-F02 Informe PM'!G55</f>
        <v>Socializar al equipo de trabajo el procedimiento de  control y seguimiento para la planeación y ejecución de contratos de diseño, obra y adecuaciones</v>
      </c>
      <c r="G56" s="215" t="str">
        <f>'1115-F02 Informe PM'!H55</f>
        <v>Oficina de Planeación</v>
      </c>
      <c r="H56" s="215" t="str">
        <f>'1115-F02 Informe PM'!I55</f>
        <v xml:space="preserve">Acta de socialización </v>
      </c>
      <c r="I56" s="215">
        <f>'1115-F02 Informe PM'!J55</f>
        <v>2</v>
      </c>
      <c r="J56" s="216">
        <f>'1115-F02 Informe PM'!L55</f>
        <v>44347</v>
      </c>
      <c r="K56" s="368">
        <v>0</v>
      </c>
      <c r="L56" s="1174" t="str">
        <f t="shared" si="10"/>
        <v xml:space="preserve">Vigente </v>
      </c>
      <c r="M56" s="1174" t="s">
        <v>526</v>
      </c>
      <c r="N56" s="956" t="s">
        <v>495</v>
      </c>
      <c r="O56" s="957"/>
      <c r="P56" s="957"/>
      <c r="Q56" s="958"/>
      <c r="R56" s="48">
        <f t="shared" si="1"/>
        <v>0</v>
      </c>
      <c r="S56" s="49">
        <f t="shared" si="2"/>
        <v>0</v>
      </c>
      <c r="T56" s="847"/>
      <c r="U56" s="943"/>
      <c r="V56" s="890"/>
      <c r="W56" s="522"/>
      <c r="X56" s="522">
        <f t="shared" si="3"/>
        <v>0</v>
      </c>
      <c r="Y56" s="889"/>
      <c r="Z56" s="933"/>
      <c r="AA56" s="933"/>
      <c r="AB56" s="934"/>
      <c r="AC56" s="937"/>
      <c r="AD56" s="934"/>
      <c r="AE56" s="941"/>
      <c r="AF56" s="951"/>
    </row>
    <row r="57" spans="1:32" s="27" customFormat="1" ht="120" customHeight="1" x14ac:dyDescent="0.2">
      <c r="A57" s="979">
        <f>'1115-F02 Informe PM'!A56</f>
        <v>14</v>
      </c>
      <c r="B57" s="926" t="str">
        <f>'1115-F02 Informe PM'!B56</f>
        <v>14-2019</v>
      </c>
      <c r="C57" s="924" t="str">
        <f>'1115-F02 Informe PM'!C56</f>
        <v xml:space="preserve">HALLAZGO 14 CONTRATO 5655 DE 2018 
La Universidad Tecnológica de Pereira, suscribió el contrato de obra 5655 de 2018, liquidado 2 septiembre del 2019, el cual tiene por objeto: Contrato de obra para la adecuación funcional del espacio actual y la modificación de redes (eléctrica y de datos) para la adecuación de las vicerrectorías académicas y administrativas de la UTP, por $136.944.675.
En la inspección ocular llevada a cabo el día 10 de marzo de 2020, se evidenció el pago de mayores cantidades de obra, como se detalla en el siguiente cuadro; igualmente en el itero 3.5 "Puertas de 0.95 m x 3 m de una nave batiente en aluminio natural y vidrio de 8 mm" se observó que el vidrio colocado es de un espesor inferior a los 8mm" especificados en el contrato.  (Ver tabla 20 Informe)
</v>
      </c>
      <c r="D57" s="922" t="str">
        <f>'1115-F02 Informe PM'!D56</f>
        <v>Debilidades y falencias en las actividades de interventoría y supervisión del contrato</v>
      </c>
      <c r="E57" s="920" t="str">
        <f>'1115-F02 Informe PM'!F56</f>
        <v>Definición e implementación un procedimiento de control y seguimiento para la planeación y ejecución de contratos de diseño, obra y adecuaciones</v>
      </c>
      <c r="F57" s="261" t="str">
        <f>'1115-F02 Informe PM'!G56</f>
        <v>Revisar todos los pasos para realizar el procedimiento de  control y seguimiento para la planeación y ejecución de contratos de diseño, obra y adecuaciones</v>
      </c>
      <c r="G57" s="248" t="str">
        <f>'1115-F02 Informe PM'!H56</f>
        <v>Oficina de Planeación</v>
      </c>
      <c r="H57" s="248" t="str">
        <f>'1115-F02 Informe PM'!I56</f>
        <v>Actas de reunión</v>
      </c>
      <c r="I57" s="248">
        <f>'1115-F02 Informe PM'!J56</f>
        <v>4</v>
      </c>
      <c r="J57" s="249">
        <f>'1115-F02 Informe PM'!L56</f>
        <v>44165</v>
      </c>
      <c r="K57" s="534">
        <v>4</v>
      </c>
      <c r="L57" s="1175" t="str">
        <f t="shared" si="10"/>
        <v>Finalizada</v>
      </c>
      <c r="M57" s="1175" t="s">
        <v>526</v>
      </c>
      <c r="N57" s="968" t="s">
        <v>429</v>
      </c>
      <c r="O57" s="968"/>
      <c r="P57" s="968"/>
      <c r="Q57" s="974"/>
      <c r="R57" s="35">
        <f t="shared" si="1"/>
        <v>1</v>
      </c>
      <c r="S57" s="26">
        <f t="shared" si="2"/>
        <v>0.33333333333333331</v>
      </c>
      <c r="T57" s="833">
        <f>(S57+S58+S59)/$V$10</f>
        <v>8.771929824561403E-3</v>
      </c>
      <c r="U57" s="949" t="str">
        <f>IF(T57=$W$10, "CUMPLIDA", "PENDIENTE")</f>
        <v>PENDIENTE</v>
      </c>
      <c r="V57" s="860" t="str">
        <f>IF(AND(T57=$W$10),$AB$9,$AB$10)</f>
        <v>HALLAZGO PENDIENTE DE CUMPLIMIENTO DE ACCION</v>
      </c>
      <c r="W57" s="513" t="s">
        <v>93</v>
      </c>
      <c r="X57" s="513">
        <f t="shared" si="3"/>
        <v>3</v>
      </c>
      <c r="Y57" s="862">
        <f>AVERAGE(X57:X59)</f>
        <v>1</v>
      </c>
      <c r="Z57" s="865" t="str">
        <f t="shared" ref="Z57" si="17">IF(Y57=3,$AB$5,IF(Y57=0,$AB$7,$AB$6))</f>
        <v>ACCION(ES) PARCIALMENTE CUMPLIDA(S)</v>
      </c>
      <c r="AA57" s="865" t="str">
        <f t="shared" ref="AA57" si="18">IF(Z57=$AB$5,$AB$5,IF(Z57=$AB$7,$AB$7,$AB$6))</f>
        <v>ACCION(ES) PARCIALMENTE CUMPLIDA(S)</v>
      </c>
      <c r="AB57" s="868" t="s">
        <v>475</v>
      </c>
      <c r="AC57" s="935" t="s">
        <v>100</v>
      </c>
      <c r="AD57" s="868" t="s">
        <v>476</v>
      </c>
      <c r="AE57" s="873" t="str">
        <f>IF(AND(AA57=$AB$5, AC57=$AC$5),$AD$5,IF(AND(AA57=$AB$6, AC57=$AC$7),$AD$7,IF(AND(AA57=$AB$5, AC57=$AC$7),$AD$7,$AD$6)))</f>
        <v>HALLAZGO PENDIENTE DE EVALUACION - Acciones no finalizadas, o acciones que siendo finalizadas, no se puede comprobar la efectividad en el periodo.</v>
      </c>
      <c r="AF57" s="950"/>
    </row>
    <row r="58" spans="1:32" s="27" customFormat="1" ht="64.5" customHeight="1" x14ac:dyDescent="0.2">
      <c r="A58" s="980"/>
      <c r="B58" s="899"/>
      <c r="C58" s="925"/>
      <c r="D58" s="923"/>
      <c r="E58" s="921"/>
      <c r="F58" s="259" t="str">
        <f>'1115-F02 Informe PM'!G57</f>
        <v>Documentar y adoptar el procedimiento de control y seguimiento para la planeación y ejecución de contratos de diseño, obra y adecuaciones</v>
      </c>
      <c r="G58" s="217" t="str">
        <f>'1115-F02 Informe PM'!H57</f>
        <v>Oficina de Planeación</v>
      </c>
      <c r="H58" s="217" t="str">
        <f>'1115-F02 Informe PM'!I57</f>
        <v xml:space="preserve">Documento </v>
      </c>
      <c r="I58" s="217">
        <f>'1115-F02 Informe PM'!J57</f>
        <v>1</v>
      </c>
      <c r="J58" s="218">
        <f>'1115-F02 Informe PM'!L57</f>
        <v>44316</v>
      </c>
      <c r="K58" s="367">
        <v>0</v>
      </c>
      <c r="L58" s="1172" t="str">
        <f t="shared" si="10"/>
        <v xml:space="preserve">Vigente </v>
      </c>
      <c r="M58" s="1175" t="s">
        <v>526</v>
      </c>
      <c r="N58" s="952" t="s">
        <v>494</v>
      </c>
      <c r="O58" s="952"/>
      <c r="P58" s="952"/>
      <c r="Q58" s="953"/>
      <c r="R58" s="36">
        <f t="shared" si="1"/>
        <v>0</v>
      </c>
      <c r="S58" s="28">
        <f t="shared" si="2"/>
        <v>0</v>
      </c>
      <c r="T58" s="834"/>
      <c r="U58" s="942"/>
      <c r="V58" s="876"/>
      <c r="W58" s="515"/>
      <c r="X58" s="515">
        <f t="shared" si="3"/>
        <v>0</v>
      </c>
      <c r="Y58" s="864"/>
      <c r="Z58" s="866"/>
      <c r="AA58" s="866"/>
      <c r="AB58" s="869"/>
      <c r="AC58" s="936"/>
      <c r="AD58" s="869"/>
      <c r="AE58" s="874"/>
      <c r="AF58" s="857"/>
    </row>
    <row r="59" spans="1:32" s="27" customFormat="1" ht="60" customHeight="1" thickBot="1" x14ac:dyDescent="0.25">
      <c r="A59" s="981"/>
      <c r="B59" s="888"/>
      <c r="C59" s="886"/>
      <c r="D59" s="884"/>
      <c r="E59" s="882"/>
      <c r="F59" s="260" t="str">
        <f>'1115-F02 Informe PM'!G58</f>
        <v>Socializar al equipo de trabajo el procedimiento de  control y seguimiento para la planeación y ejecución de contratos de diseño, obra y adecuaciones</v>
      </c>
      <c r="G59" s="215" t="str">
        <f>'1115-F02 Informe PM'!H58</f>
        <v>Oficina de Planeación</v>
      </c>
      <c r="H59" s="215" t="str">
        <f>'1115-F02 Informe PM'!I58</f>
        <v xml:space="preserve">Acta de socialización </v>
      </c>
      <c r="I59" s="215">
        <f>'1115-F02 Informe PM'!J58</f>
        <v>2</v>
      </c>
      <c r="J59" s="216">
        <f>'1115-F02 Informe PM'!L58</f>
        <v>44347</v>
      </c>
      <c r="K59" s="368">
        <v>0</v>
      </c>
      <c r="L59" s="1174" t="str">
        <f t="shared" si="10"/>
        <v xml:space="preserve">Vigente </v>
      </c>
      <c r="M59" s="1174" t="s">
        <v>526</v>
      </c>
      <c r="N59" s="956" t="s">
        <v>495</v>
      </c>
      <c r="O59" s="957"/>
      <c r="P59" s="957"/>
      <c r="Q59" s="958"/>
      <c r="R59" s="48">
        <f t="shared" si="1"/>
        <v>0</v>
      </c>
      <c r="S59" s="49">
        <f t="shared" si="2"/>
        <v>0</v>
      </c>
      <c r="T59" s="847"/>
      <c r="U59" s="943"/>
      <c r="V59" s="890"/>
      <c r="W59" s="522"/>
      <c r="X59" s="522">
        <f t="shared" si="3"/>
        <v>0</v>
      </c>
      <c r="Y59" s="889"/>
      <c r="Z59" s="933"/>
      <c r="AA59" s="933"/>
      <c r="AB59" s="934"/>
      <c r="AC59" s="937"/>
      <c r="AD59" s="934"/>
      <c r="AE59" s="941"/>
      <c r="AF59" s="951"/>
    </row>
    <row r="60" spans="1:32" s="27" customFormat="1" ht="118.5" customHeight="1" x14ac:dyDescent="0.2">
      <c r="A60" s="979">
        <f>'1115-F02 Informe PM'!A59</f>
        <v>15</v>
      </c>
      <c r="B60" s="926" t="str">
        <f>'1115-F02 Informe PM'!B59</f>
        <v>15-2019</v>
      </c>
      <c r="C60" s="924" t="str">
        <f>'1115-F02 Informe PM'!C59</f>
        <v>HALLAZGO 15 CONTRATO 5653 DE 2018 ADECUACIÓN GESTIÓN FINANCIERA 
La Universidad Tecnológica de Pereira, suscribió el contrato de obra 5653 de 2018, liquidado septiembre 2 del 2019, el cual tiene por objeto: Contrato de Obra para la Adecuación funcional del espacio actual y la modificación de redes (eléctrica y de datos) de Gestión Financiera de la UTP, por $163.714.599 y valor pagado por $163.714.598.
En la inspección ocular llevada a cabo el día 6 de marzo de 2020, en compañía del tecnólogo en instalaciones eléctricas y la arquitecta de la oficina de planeación, se evidenció el pago de mayores y menores cantidades de obra a las realmente ejecutadas, como se detalla en el siguiente cuadro (Ver tabla 21 Informe)</v>
      </c>
      <c r="D60" s="922" t="str">
        <f>'1115-F02 Informe PM'!D59</f>
        <v>Debilidades y falencias en las actividades de supervisión e interventoría, lo cual ocasiono que se pagaran mayores cantidades a las realmente ejecutadas</v>
      </c>
      <c r="E60" s="920" t="str">
        <f>'1115-F02 Informe PM'!F59</f>
        <v>Definición e implementación un procedimiento de control y seguimiento para la planeación y ejecución de contratos de diseño, obra y adecuaciones</v>
      </c>
      <c r="F60" s="261" t="str">
        <f>'1115-F02 Informe PM'!G59</f>
        <v>Revisar todos los pasos para realizar el procedimiento de  control y seguimiento para la planeación y ejecución de contratos de diseño, obra y adecuaciones</v>
      </c>
      <c r="G60" s="248" t="str">
        <f>'1115-F02 Informe PM'!H59</f>
        <v>Oficina de Planeación</v>
      </c>
      <c r="H60" s="248" t="str">
        <f>'1115-F02 Informe PM'!I59</f>
        <v>Actas de reunión</v>
      </c>
      <c r="I60" s="248">
        <f>'1115-F02 Informe PM'!J59</f>
        <v>4</v>
      </c>
      <c r="J60" s="249">
        <f>'1115-F02 Informe PM'!L59</f>
        <v>44165</v>
      </c>
      <c r="K60" s="534">
        <v>4</v>
      </c>
      <c r="L60" s="1175" t="str">
        <f t="shared" si="10"/>
        <v>Finalizada</v>
      </c>
      <c r="M60" s="1175" t="s">
        <v>526</v>
      </c>
      <c r="N60" s="968" t="s">
        <v>429</v>
      </c>
      <c r="O60" s="968"/>
      <c r="P60" s="968"/>
      <c r="Q60" s="974"/>
      <c r="R60" s="35">
        <f t="shared" si="1"/>
        <v>1</v>
      </c>
      <c r="S60" s="26">
        <f t="shared" si="2"/>
        <v>0.33333333333333331</v>
      </c>
      <c r="T60" s="833">
        <f>(S60+S61+S62)/$V$10</f>
        <v>8.771929824561403E-3</v>
      </c>
      <c r="U60" s="949" t="str">
        <f>IF(T60=$W$10, "CUMPLIDA", "PENDIENTE")</f>
        <v>PENDIENTE</v>
      </c>
      <c r="V60" s="860" t="str">
        <f>IF(AND(T60=$W$10),$AB$9,$AB$10)</f>
        <v>HALLAZGO PENDIENTE DE CUMPLIMIENTO DE ACCION</v>
      </c>
      <c r="W60" s="513" t="s">
        <v>93</v>
      </c>
      <c r="X60" s="513">
        <f t="shared" si="3"/>
        <v>3</v>
      </c>
      <c r="Y60" s="862">
        <f>AVERAGE(X60:X62)</f>
        <v>1.6666666666666667</v>
      </c>
      <c r="Z60" s="865" t="str">
        <f t="shared" ref="Z60" si="19">IF(Y60=3,$AB$5,IF(Y60=0,$AB$7,$AB$6))</f>
        <v>ACCION(ES) PARCIALMENTE CUMPLIDA(S)</v>
      </c>
      <c r="AA60" s="865" t="str">
        <f t="shared" ref="AA60" si="20">IF(Z60=$AB$5,$AB$5,IF(Z60=$AB$7,$AB$7,$AB$6))</f>
        <v>ACCION(ES) PARCIALMENTE CUMPLIDA(S)</v>
      </c>
      <c r="AB60" s="868" t="s">
        <v>475</v>
      </c>
      <c r="AC60" s="935" t="s">
        <v>100</v>
      </c>
      <c r="AD60" s="868" t="s">
        <v>476</v>
      </c>
      <c r="AE60" s="873" t="str">
        <f>IF(AND(AA60=$AB$5, AC60=$AC$5),$AD$5,IF(AND(AA60=$AB$6, AC60=$AC$7),$AD$7,IF(AND(AA60=$AB$5, AC60=$AC$7),$AD$7,$AD$6)))</f>
        <v>HALLAZGO PENDIENTE DE EVALUACION - Acciones no finalizadas, o acciones que siendo finalizadas, no se puede comprobar la efectividad en el periodo.</v>
      </c>
      <c r="AF60" s="950"/>
    </row>
    <row r="61" spans="1:32" s="27" customFormat="1" ht="67.5" customHeight="1" x14ac:dyDescent="0.2">
      <c r="A61" s="980"/>
      <c r="B61" s="899"/>
      <c r="C61" s="925"/>
      <c r="D61" s="923"/>
      <c r="E61" s="921"/>
      <c r="F61" s="259" t="str">
        <f>'1115-F02 Informe PM'!G60</f>
        <v>Documentar y adoptar el procedimiento de control y seguimiento para la planeación y ejecución de contratos de diseño, obra y adecuaciones</v>
      </c>
      <c r="G61" s="217" t="str">
        <f>'1115-F02 Informe PM'!H60</f>
        <v>Oficina de Planeación</v>
      </c>
      <c r="H61" s="217" t="str">
        <f>'1115-F02 Informe PM'!I60</f>
        <v xml:space="preserve">Documento </v>
      </c>
      <c r="I61" s="217">
        <f>'1115-F02 Informe PM'!J60</f>
        <v>1</v>
      </c>
      <c r="J61" s="218">
        <f>'1115-F02 Informe PM'!L60</f>
        <v>44316</v>
      </c>
      <c r="K61" s="367">
        <v>0</v>
      </c>
      <c r="L61" s="1172" t="str">
        <f t="shared" si="10"/>
        <v xml:space="preserve">Vigente </v>
      </c>
      <c r="M61" s="1175" t="s">
        <v>526</v>
      </c>
      <c r="N61" s="952" t="s">
        <v>494</v>
      </c>
      <c r="O61" s="952"/>
      <c r="P61" s="952"/>
      <c r="Q61" s="953"/>
      <c r="R61" s="36">
        <f t="shared" si="1"/>
        <v>0</v>
      </c>
      <c r="S61" s="28">
        <f t="shared" si="2"/>
        <v>0</v>
      </c>
      <c r="T61" s="834"/>
      <c r="U61" s="942"/>
      <c r="V61" s="876"/>
      <c r="W61" s="515" t="s">
        <v>94</v>
      </c>
      <c r="X61" s="515">
        <f t="shared" si="3"/>
        <v>2</v>
      </c>
      <c r="Y61" s="864"/>
      <c r="Z61" s="866"/>
      <c r="AA61" s="866"/>
      <c r="AB61" s="869"/>
      <c r="AC61" s="936"/>
      <c r="AD61" s="869"/>
      <c r="AE61" s="874"/>
      <c r="AF61" s="857"/>
    </row>
    <row r="62" spans="1:32" s="27" customFormat="1" ht="60.75" customHeight="1" thickBot="1" x14ac:dyDescent="0.25">
      <c r="A62" s="981"/>
      <c r="B62" s="888"/>
      <c r="C62" s="886"/>
      <c r="D62" s="884"/>
      <c r="E62" s="882"/>
      <c r="F62" s="260" t="str">
        <f>'1115-F02 Informe PM'!G61</f>
        <v>Socializar al equipo de trabajo el procedimiento de  control y seguimiento para la planeación y ejecución de contratos de diseño, obra y adecuaciones</v>
      </c>
      <c r="G62" s="215" t="str">
        <f>'1115-F02 Informe PM'!H61</f>
        <v>Oficina de Planeación</v>
      </c>
      <c r="H62" s="215" t="str">
        <f>'1115-F02 Informe PM'!I61</f>
        <v xml:space="preserve">Acta de socialización </v>
      </c>
      <c r="I62" s="215">
        <f>'1115-F02 Informe PM'!J61</f>
        <v>2</v>
      </c>
      <c r="J62" s="216">
        <f>'1115-F02 Informe PM'!L61</f>
        <v>44347</v>
      </c>
      <c r="K62" s="368">
        <v>0</v>
      </c>
      <c r="L62" s="1174" t="str">
        <f t="shared" si="10"/>
        <v xml:space="preserve">Vigente </v>
      </c>
      <c r="M62" s="1174" t="s">
        <v>526</v>
      </c>
      <c r="N62" s="956" t="s">
        <v>495</v>
      </c>
      <c r="O62" s="957"/>
      <c r="P62" s="957"/>
      <c r="Q62" s="958"/>
      <c r="R62" s="48">
        <f t="shared" si="1"/>
        <v>0</v>
      </c>
      <c r="S62" s="49">
        <f t="shared" si="2"/>
        <v>0</v>
      </c>
      <c r="T62" s="847"/>
      <c r="U62" s="943"/>
      <c r="V62" s="890"/>
      <c r="W62" s="522"/>
      <c r="X62" s="522">
        <f t="shared" si="3"/>
        <v>0</v>
      </c>
      <c r="Y62" s="889"/>
      <c r="Z62" s="933"/>
      <c r="AA62" s="933"/>
      <c r="AB62" s="934"/>
      <c r="AC62" s="937"/>
      <c r="AD62" s="934"/>
      <c r="AE62" s="941"/>
      <c r="AF62" s="951"/>
    </row>
    <row r="63" spans="1:32" s="27" customFormat="1" ht="120" customHeight="1" x14ac:dyDescent="0.2">
      <c r="A63" s="979">
        <f>'1115-F02 Informe PM'!A62</f>
        <v>16</v>
      </c>
      <c r="B63" s="926" t="str">
        <f>'1115-F02 Informe PM'!B62</f>
        <v>16-2019</v>
      </c>
      <c r="C63" s="924" t="str">
        <f>'1115-F02 Informe PM'!C62</f>
        <v>HALLAZGO 16 CONTRATO 5660 DE 2018 CIENCIAS AMBIENTALES 
La Universidad Tecnológica de Pereira, suscribió el contrato de obra 5660 de 2018, liquidado el 20 de septiembre del 2019, el cual tiene por objeto: Adecuación funcional laboratorios de Química ambiental y procesos biológicos en la facultad de ciencias ambientales de la UTP, por $ 262.891.547 y pagado por el mismo valor. 
En la inspección ocular llevada a cabo el día 17 y 19 de marzo de 2020, en compañía de la ingeniera de la oficina de planeación, se evidenció el recibo y pago de algunos ítems que no cumplen las especificaciones técnicas estipuladas en el contrato (pérgola, y muebles en acero inoxidable), la utilización de elementos estructurales para trabajos que no lo requieren (pérgola) y pago de mayor cantidad de obra (mueble), como lo muestra el siguiente cuadro (Ver tabla 22 Informe)</v>
      </c>
      <c r="D63" s="922" t="str">
        <f>'1115-F02 Informe PM'!D62</f>
        <v>Debilidades y falencias en las actividades de supervisión e interventoría</v>
      </c>
      <c r="E63" s="920" t="str">
        <f>'1115-F02 Informe PM'!F62</f>
        <v>Definición e implementación un procedimiento de control y seguimiento para la planeación y ejecución de contratos de diseño, obra y adecuaciones</v>
      </c>
      <c r="F63" s="261" t="str">
        <f>'1115-F02 Informe PM'!G62</f>
        <v>Revisar todos los pasos para realizar el procedimiento de  control y seguimiento para la planeación y ejecución de contratos de diseño, obra y adecuaciones</v>
      </c>
      <c r="G63" s="248" t="str">
        <f>'1115-F02 Informe PM'!H62</f>
        <v>Oficina de Planeación</v>
      </c>
      <c r="H63" s="248" t="str">
        <f>'1115-F02 Informe PM'!I62</f>
        <v>Actas de reunión</v>
      </c>
      <c r="I63" s="248">
        <f>'1115-F02 Informe PM'!J62</f>
        <v>4</v>
      </c>
      <c r="J63" s="249">
        <f>'1115-F02 Informe PM'!L62</f>
        <v>44165</v>
      </c>
      <c r="K63" s="534">
        <v>4</v>
      </c>
      <c r="L63" s="1175" t="str">
        <f t="shared" si="10"/>
        <v>Finalizada</v>
      </c>
      <c r="M63" s="1175" t="s">
        <v>526</v>
      </c>
      <c r="N63" s="968" t="s">
        <v>429</v>
      </c>
      <c r="O63" s="968"/>
      <c r="P63" s="968"/>
      <c r="Q63" s="974"/>
      <c r="R63" s="35">
        <f t="shared" si="1"/>
        <v>1</v>
      </c>
      <c r="S63" s="26">
        <f t="shared" si="2"/>
        <v>0.33333333333333331</v>
      </c>
      <c r="T63" s="833">
        <f>(S63+S64+S65)/$V$10</f>
        <v>8.771929824561403E-3</v>
      </c>
      <c r="U63" s="949" t="str">
        <f>IF(T63=$W$10, "CUMPLIDA", "PENDIENTE")</f>
        <v>PENDIENTE</v>
      </c>
      <c r="V63" s="860" t="str">
        <f>IF(AND(T63=$W$10),$AB$9,$AB$10)</f>
        <v>HALLAZGO PENDIENTE DE CUMPLIMIENTO DE ACCION</v>
      </c>
      <c r="W63" s="513" t="s">
        <v>93</v>
      </c>
      <c r="X63" s="513">
        <f t="shared" si="3"/>
        <v>3</v>
      </c>
      <c r="Y63" s="862">
        <f>AVERAGE(X63:X65)</f>
        <v>1.6666666666666667</v>
      </c>
      <c r="Z63" s="865" t="str">
        <f t="shared" ref="Z63" si="21">IF(Y63=3,$AB$5,IF(Y63=0,$AB$7,$AB$6))</f>
        <v>ACCION(ES) PARCIALMENTE CUMPLIDA(S)</v>
      </c>
      <c r="AA63" s="865" t="str">
        <f t="shared" ref="AA63" si="22">IF(Z63=$AB$5,$AB$5,IF(Z63=$AB$7,$AB$7,$AB$6))</f>
        <v>ACCION(ES) PARCIALMENTE CUMPLIDA(S)</v>
      </c>
      <c r="AB63" s="868" t="s">
        <v>475</v>
      </c>
      <c r="AC63" s="935" t="s">
        <v>100</v>
      </c>
      <c r="AD63" s="868" t="s">
        <v>476</v>
      </c>
      <c r="AE63" s="873" t="str">
        <f>IF(AND(AA63=$AB$5, AC63=$AC$5),$AD$5,IF(AND(AA63=$AB$6, AC63=$AC$7),$AD$7,IF(AND(AA63=$AB$5, AC63=$AC$7),$AD$7,$AD$6)))</f>
        <v>HALLAZGO PENDIENTE DE EVALUACION - Acciones no finalizadas, o acciones que siendo finalizadas, no se puede comprobar la efectividad en el periodo.</v>
      </c>
      <c r="AF63" s="950"/>
    </row>
    <row r="64" spans="1:32" s="27" customFormat="1" ht="71.25" customHeight="1" x14ac:dyDescent="0.2">
      <c r="A64" s="980"/>
      <c r="B64" s="899"/>
      <c r="C64" s="925"/>
      <c r="D64" s="923"/>
      <c r="E64" s="921"/>
      <c r="F64" s="259" t="str">
        <f>'1115-F02 Informe PM'!G63</f>
        <v>Documentar y adoptar el procedimiento de control y seguimiento para la planeación y ejecución de contratos de diseño, obra y adecuaciones</v>
      </c>
      <c r="G64" s="217" t="str">
        <f>'1115-F02 Informe PM'!H63</f>
        <v>Oficina de Planeación</v>
      </c>
      <c r="H64" s="217" t="str">
        <f>'1115-F02 Informe PM'!I63</f>
        <v xml:space="preserve">Documento </v>
      </c>
      <c r="I64" s="217">
        <f>'1115-F02 Informe PM'!J63</f>
        <v>1</v>
      </c>
      <c r="J64" s="218">
        <f>'1115-F02 Informe PM'!L63</f>
        <v>44316</v>
      </c>
      <c r="K64" s="367">
        <v>0</v>
      </c>
      <c r="L64" s="1172" t="str">
        <f t="shared" si="10"/>
        <v xml:space="preserve">Vigente </v>
      </c>
      <c r="M64" s="1175" t="s">
        <v>526</v>
      </c>
      <c r="N64" s="952" t="s">
        <v>494</v>
      </c>
      <c r="O64" s="952"/>
      <c r="P64" s="952"/>
      <c r="Q64" s="953"/>
      <c r="R64" s="36">
        <f t="shared" si="1"/>
        <v>0</v>
      </c>
      <c r="S64" s="28">
        <f t="shared" si="2"/>
        <v>0</v>
      </c>
      <c r="T64" s="834"/>
      <c r="U64" s="942"/>
      <c r="V64" s="876"/>
      <c r="W64" s="515" t="s">
        <v>94</v>
      </c>
      <c r="X64" s="515">
        <f t="shared" si="3"/>
        <v>2</v>
      </c>
      <c r="Y64" s="864"/>
      <c r="Z64" s="866"/>
      <c r="AA64" s="866"/>
      <c r="AB64" s="869"/>
      <c r="AC64" s="936"/>
      <c r="AD64" s="869"/>
      <c r="AE64" s="874"/>
      <c r="AF64" s="857"/>
    </row>
    <row r="65" spans="1:32" s="27" customFormat="1" ht="62.25" customHeight="1" thickBot="1" x14ac:dyDescent="0.25">
      <c r="A65" s="981"/>
      <c r="B65" s="888"/>
      <c r="C65" s="886"/>
      <c r="D65" s="884"/>
      <c r="E65" s="882"/>
      <c r="F65" s="260" t="str">
        <f>'1115-F02 Informe PM'!G64</f>
        <v>Socializar al equipo de trabajo el procedimiento de  control y seguimiento para la planeación y ejecución de contratos de diseño, obra y adecuaciones</v>
      </c>
      <c r="G65" s="215" t="str">
        <f>'1115-F02 Informe PM'!H64</f>
        <v>Oficina de Planeación</v>
      </c>
      <c r="H65" s="215" t="str">
        <f>'1115-F02 Informe PM'!I64</f>
        <v xml:space="preserve">Acta de socialización </v>
      </c>
      <c r="I65" s="215">
        <f>'1115-F02 Informe PM'!J64</f>
        <v>2</v>
      </c>
      <c r="J65" s="216">
        <f>'1115-F02 Informe PM'!L64</f>
        <v>44347</v>
      </c>
      <c r="K65" s="368">
        <v>0</v>
      </c>
      <c r="L65" s="1174" t="str">
        <f t="shared" si="10"/>
        <v xml:space="preserve">Vigente </v>
      </c>
      <c r="M65" s="1174" t="s">
        <v>526</v>
      </c>
      <c r="N65" s="956" t="s">
        <v>495</v>
      </c>
      <c r="O65" s="957"/>
      <c r="P65" s="957"/>
      <c r="Q65" s="958"/>
      <c r="R65" s="48">
        <f t="shared" si="1"/>
        <v>0</v>
      </c>
      <c r="S65" s="49">
        <f t="shared" si="2"/>
        <v>0</v>
      </c>
      <c r="T65" s="847"/>
      <c r="U65" s="943"/>
      <c r="V65" s="890"/>
      <c r="W65" s="522"/>
      <c r="X65" s="522">
        <f t="shared" si="3"/>
        <v>0</v>
      </c>
      <c r="Y65" s="889"/>
      <c r="Z65" s="933"/>
      <c r="AA65" s="933"/>
      <c r="AB65" s="934"/>
      <c r="AC65" s="937"/>
      <c r="AD65" s="934"/>
      <c r="AE65" s="941"/>
      <c r="AF65" s="951"/>
    </row>
    <row r="66" spans="1:32" s="27" customFormat="1" ht="42" customHeight="1" x14ac:dyDescent="0.2">
      <c r="A66" s="979">
        <f>'1115-F02 Informe PM'!A65</f>
        <v>17</v>
      </c>
      <c r="B66" s="926" t="str">
        <f>'1115-F02 Informe PM'!B65</f>
        <v>17-2019</v>
      </c>
      <c r="C66" s="924" t="str">
        <f>'1115-F02 Informe PM'!C65</f>
        <v>HALLAZGO 17 PRESENTACIÓN DEL PASIVO POR BENEFICIOS POSEMPLEO 
Contrario a lo anterior, la Universidad Tecnológica de Pereira, presentó en el Estado de Situación Financiera a diciembre 31 de 2019 un saldo por $43.287.581.096 por beneficios posempleo, debiendo presentar el valor total neto del pasivo por beneficios posempleo por $43.256.928.503, resultante de descontar del saldo del pasivo por Beneficios Posempleo – Pensiones por $70.323.601.096 (Cuenta 2514 y Nota 9 a los Estados Financieros), el saldo del Plan de Activos para beneficios Posempleo que al cierre de la vigencia ascendió a $27.066.672.593 (Cuenta 1904 y Nota 6).</v>
      </c>
      <c r="D66" s="922" t="str">
        <f>'1115-F02 Informe PM'!D65</f>
        <v xml:space="preserve">Debilidades de control interno contable  </v>
      </c>
      <c r="E66" s="920" t="str">
        <f>'1115-F02 Informe PM'!F65</f>
        <v>Revisión del Procedimiento  establecido para la presentación de los Estados Financieros</v>
      </c>
      <c r="F66" s="261" t="str">
        <f>'1115-F02 Informe PM'!G65</f>
        <v>Actualizar los procedimientos para la presentación de los Estados Financieros.</v>
      </c>
      <c r="G66" s="248" t="str">
        <f>'1115-F02 Informe PM'!H65</f>
        <v>Gestion Contable</v>
      </c>
      <c r="H66" s="248" t="str">
        <f>'1115-F02 Informe PM'!I65</f>
        <v>Documento</v>
      </c>
      <c r="I66" s="248">
        <f>'1115-F02 Informe PM'!J65</f>
        <v>1</v>
      </c>
      <c r="J66" s="249">
        <f>'1115-F02 Informe PM'!L65</f>
        <v>44285</v>
      </c>
      <c r="K66" s="369">
        <v>1</v>
      </c>
      <c r="L66" s="1175" t="str">
        <f t="shared" si="10"/>
        <v>Finalizada</v>
      </c>
      <c r="M66" s="1175" t="s">
        <v>526</v>
      </c>
      <c r="N66" s="1018" t="s">
        <v>504</v>
      </c>
      <c r="O66" s="1019"/>
      <c r="P66" s="1019"/>
      <c r="Q66" s="1020"/>
      <c r="R66" s="35">
        <f t="shared" si="1"/>
        <v>1</v>
      </c>
      <c r="S66" s="26">
        <f t="shared" si="2"/>
        <v>0.33333333333333331</v>
      </c>
      <c r="T66" s="833">
        <f>(S66+S67+S68)/$V$10</f>
        <v>1.7543859649122806E-2</v>
      </c>
      <c r="U66" s="949" t="str">
        <f>IF(T66=$W$10, "CUMPLIDA", "PENDIENTE")</f>
        <v>PENDIENTE</v>
      </c>
      <c r="V66" s="860" t="str">
        <f>IF(AND(T66=$W$10),$AB$9,$AB$10)</f>
        <v>HALLAZGO PENDIENTE DE CUMPLIMIENTO DE ACCION</v>
      </c>
      <c r="W66" s="513" t="s">
        <v>93</v>
      </c>
      <c r="X66" s="513">
        <f t="shared" si="3"/>
        <v>3</v>
      </c>
      <c r="Y66" s="862">
        <f>AVERAGE(X66:X68)</f>
        <v>2</v>
      </c>
      <c r="Z66" s="865" t="str">
        <f t="shared" ref="Z66:Z69" si="23">IF(Y66=3,$AB$5,IF(Y66=0,$AB$7,$AB$6))</f>
        <v>ACCION(ES) PARCIALMENTE CUMPLIDA(S)</v>
      </c>
      <c r="AA66" s="865" t="str">
        <f t="shared" ref="AA66:AA69" si="24">IF(Z66=$AB$5,$AB$5,IF(Z66=$AB$7,$AB$7,$AB$6))</f>
        <v>ACCION(ES) PARCIALMENTE CUMPLIDA(S)</v>
      </c>
      <c r="AB66" s="868" t="s">
        <v>475</v>
      </c>
      <c r="AC66" s="935" t="s">
        <v>100</v>
      </c>
      <c r="AD66" s="868" t="s">
        <v>476</v>
      </c>
      <c r="AE66" s="873" t="str">
        <f>IF(AND(AA66=$AB$5, AC66=$AC$5),$AD$5,IF(AND(AA66=$AB$6, AC66=$AC$7),$AD$7,IF(AND(AA66=$AB$5, AC66=$AC$7),$AD$7,$AD$6)))</f>
        <v>HALLAZGO PENDIENTE DE EVALUACION - Acciones no finalizadas, o acciones que siendo finalizadas, no se puede comprobar la efectividad en el periodo.</v>
      </c>
      <c r="AF66" s="950"/>
    </row>
    <row r="67" spans="1:32" s="27" customFormat="1" ht="40.5" customHeight="1" x14ac:dyDescent="0.2">
      <c r="A67" s="980"/>
      <c r="B67" s="899"/>
      <c r="C67" s="925"/>
      <c r="D67" s="923"/>
      <c r="E67" s="921"/>
      <c r="F67" s="259" t="str">
        <f>'1115-F02 Informe PM'!G66</f>
        <v xml:space="preserve">Documentar y adoptar las actualizaciones de los Estados Financieros </v>
      </c>
      <c r="G67" s="217" t="str">
        <f>'1115-F02 Informe PM'!H66</f>
        <v>Gestion Contable</v>
      </c>
      <c r="H67" s="217" t="str">
        <f>'1115-F02 Informe PM'!I66</f>
        <v>Documento</v>
      </c>
      <c r="I67" s="217">
        <f>'1115-F02 Informe PM'!J66</f>
        <v>1</v>
      </c>
      <c r="J67" s="218">
        <f>'1115-F02 Informe PM'!L66</f>
        <v>44316</v>
      </c>
      <c r="K67" s="367">
        <v>1</v>
      </c>
      <c r="L67" s="1172" t="str">
        <f t="shared" si="10"/>
        <v>Finalizada</v>
      </c>
      <c r="M67" s="1175" t="s">
        <v>526</v>
      </c>
      <c r="N67" s="952" t="s">
        <v>504</v>
      </c>
      <c r="O67" s="1004"/>
      <c r="P67" s="1004"/>
      <c r="Q67" s="1005"/>
      <c r="R67" s="36">
        <f t="shared" si="1"/>
        <v>1</v>
      </c>
      <c r="S67" s="28">
        <f t="shared" si="2"/>
        <v>0.33333333333333331</v>
      </c>
      <c r="T67" s="834"/>
      <c r="U67" s="942"/>
      <c r="V67" s="876"/>
      <c r="W67" s="515" t="s">
        <v>93</v>
      </c>
      <c r="X67" s="515">
        <f t="shared" si="3"/>
        <v>3</v>
      </c>
      <c r="Y67" s="864"/>
      <c r="Z67" s="866"/>
      <c r="AA67" s="866"/>
      <c r="AB67" s="869"/>
      <c r="AC67" s="936"/>
      <c r="AD67" s="869"/>
      <c r="AE67" s="874"/>
      <c r="AF67" s="857"/>
    </row>
    <row r="68" spans="1:32" s="27" customFormat="1" ht="68.25" customHeight="1" thickBot="1" x14ac:dyDescent="0.25">
      <c r="A68" s="990"/>
      <c r="B68" s="900"/>
      <c r="C68" s="938"/>
      <c r="D68" s="939"/>
      <c r="E68" s="940"/>
      <c r="F68" s="272" t="str">
        <f>'1115-F02 Informe PM'!G67</f>
        <v>Socializar Procedimiento establecido para la presentación de los Estados Financieros con el Grupo de Trabajo</v>
      </c>
      <c r="G68" s="250" t="str">
        <f>'1115-F02 Informe PM'!H67</f>
        <v>Gestion Contable</v>
      </c>
      <c r="H68" s="250" t="str">
        <f>'1115-F02 Informe PM'!I67</f>
        <v>Documento</v>
      </c>
      <c r="I68" s="250">
        <f>'1115-F02 Informe PM'!J67</f>
        <v>1</v>
      </c>
      <c r="J68" s="251">
        <f>'1115-F02 Informe PM'!L67</f>
        <v>44347</v>
      </c>
      <c r="K68" s="370">
        <v>0</v>
      </c>
      <c r="L68" s="1173" t="str">
        <f t="shared" si="10"/>
        <v xml:space="preserve">Vigente </v>
      </c>
      <c r="M68" s="1174" t="s">
        <v>526</v>
      </c>
      <c r="N68" s="1179" t="s">
        <v>527</v>
      </c>
      <c r="O68" s="1179"/>
      <c r="P68" s="1179"/>
      <c r="Q68" s="1180"/>
      <c r="R68" s="48">
        <f t="shared" si="1"/>
        <v>0</v>
      </c>
      <c r="S68" s="49">
        <f t="shared" si="2"/>
        <v>0</v>
      </c>
      <c r="T68" s="847"/>
      <c r="U68" s="943"/>
      <c r="V68" s="890"/>
      <c r="W68" s="522"/>
      <c r="X68" s="522">
        <f t="shared" si="3"/>
        <v>0</v>
      </c>
      <c r="Y68" s="889"/>
      <c r="Z68" s="933"/>
      <c r="AA68" s="933"/>
      <c r="AB68" s="934"/>
      <c r="AC68" s="937"/>
      <c r="AD68" s="934"/>
      <c r="AE68" s="941"/>
      <c r="AF68" s="951"/>
    </row>
    <row r="69" spans="1:32" s="27" customFormat="1" ht="66.75" customHeight="1" x14ac:dyDescent="0.2">
      <c r="A69" s="989">
        <f>'1115-F02 Informe PM'!A68</f>
        <v>18</v>
      </c>
      <c r="B69" s="887" t="str">
        <f>'1115-F02 Informe PM'!B68</f>
        <v>18-2019</v>
      </c>
      <c r="C69" s="885" t="str">
        <f>'1115-F02 Informe PM'!C68</f>
        <v>HALLAZGO 18 REGISTROS PASIVO PENSIONAL 
Contrario a lo anterior, se evidenció que la Universidad Tecnológica de Pereira no registró la causación de la nómina de pensionados, conforme lo señala el procedimiento en comento utilizando las subcuentas 251410 (DB) y 251401 (CR) para cada uno de los terceros evaluados, toda vez que el libro auxiliar de la subcuenta 251401 solo registra movimientos débitos para cada tercero, lo que significa que se registró el pago de la nómina sin que ésta se hubiere causado (movimiento crédito) para cada uno de los beneficiarios de la misma, como se detalla a continuación (ver tabla 23 Informe)
Igualmente se evidenció que dentro de la cuenta 2514 la Universidad Tecnológica de Pereira manejó terceras personas jurídicas para registrar la causación de la nómina de pensionados, situación que no permite identificar al beneficiario concreto de la mesada pensional, lo que dificulta el proceso auditor; como se detalla a continuación (Ver tabla 24 Informe)</v>
      </c>
      <c r="D69" s="883" t="str">
        <f>'1115-F02 Informe PM'!D68</f>
        <v>Debilidades de control y seguimiento en el procedimiento para el registro de los hechos económicos relacionados con el pasivo pensional</v>
      </c>
      <c r="E69" s="881" t="str">
        <f>'1115-F02 Informe PM'!F68</f>
        <v>Implementación de un Instructivo para la desagregación de la Nómina de Pensionados</v>
      </c>
      <c r="F69" s="509" t="str">
        <f>'1115-F02 Informe PM'!G68</f>
        <v xml:space="preserve">
Diseñar un instructivo para la contabilización de las cuentas 251410 y 251401 desagregadas tercero a tercero.
</v>
      </c>
      <c r="G69" s="213" t="str">
        <f>'1115-F02 Informe PM'!H68</f>
        <v>Gestion Contable</v>
      </c>
      <c r="H69" s="213" t="str">
        <f>'1115-F02 Informe PM'!I68</f>
        <v>Documento</v>
      </c>
      <c r="I69" s="213">
        <f>'1115-F02 Informe PM'!J68</f>
        <v>1</v>
      </c>
      <c r="J69" s="214">
        <f>'1115-F02 Informe PM'!L68</f>
        <v>44255</v>
      </c>
      <c r="K69" s="366">
        <v>1</v>
      </c>
      <c r="L69" s="1171" t="str">
        <f t="shared" si="10"/>
        <v>Finalizada</v>
      </c>
      <c r="M69" s="1175" t="s">
        <v>526</v>
      </c>
      <c r="N69" s="825" t="s">
        <v>509</v>
      </c>
      <c r="O69" s="1183"/>
      <c r="P69" s="1183"/>
      <c r="Q69" s="1184"/>
      <c r="R69" s="35">
        <f t="shared" si="1"/>
        <v>1</v>
      </c>
      <c r="S69" s="26">
        <f t="shared" si="2"/>
        <v>0.33333333333333331</v>
      </c>
      <c r="T69" s="833">
        <f>(S69+S70+S71)/$V$10</f>
        <v>8.771929824561403E-3</v>
      </c>
      <c r="U69" s="949" t="str">
        <f>IF(T69=$W$10, "CUMPLIDA", "PENDIENTE")</f>
        <v>PENDIENTE</v>
      </c>
      <c r="V69" s="860" t="str">
        <f>IF(AND(T69=$W$10),$AB$9,$AB$10)</f>
        <v>HALLAZGO PENDIENTE DE CUMPLIMIENTO DE ACCION</v>
      </c>
      <c r="W69" s="513" t="s">
        <v>93</v>
      </c>
      <c r="X69" s="513">
        <f t="shared" si="3"/>
        <v>3</v>
      </c>
      <c r="Y69" s="862">
        <f>AVERAGE(X69:X71)</f>
        <v>1</v>
      </c>
      <c r="Z69" s="865" t="str">
        <f t="shared" si="23"/>
        <v>ACCION(ES) PARCIALMENTE CUMPLIDA(S)</v>
      </c>
      <c r="AA69" s="865" t="str">
        <f t="shared" si="24"/>
        <v>ACCION(ES) PARCIALMENTE CUMPLIDA(S)</v>
      </c>
      <c r="AB69" s="868" t="s">
        <v>475</v>
      </c>
      <c r="AC69" s="935" t="s">
        <v>100</v>
      </c>
      <c r="AD69" s="868" t="s">
        <v>476</v>
      </c>
      <c r="AE69" s="873" t="str">
        <f>IF(AND(AA69=$AB$5, AC69=$AC$5),$AD$5,IF(AND(AA69=$AB$6, AC69=$AC$7),$AD$7,IF(AND(AA69=$AB$5, AC69=$AC$7),$AD$7,$AD$6)))</f>
        <v>HALLAZGO PENDIENTE DE EVALUACION - Acciones no finalizadas, o acciones que siendo finalizadas, no se puede comprobar la efectividad en el periodo.</v>
      </c>
      <c r="AF69" s="950"/>
    </row>
    <row r="70" spans="1:32" s="27" customFormat="1" ht="64.5" customHeight="1" x14ac:dyDescent="0.2">
      <c r="A70" s="980"/>
      <c r="B70" s="899"/>
      <c r="C70" s="925"/>
      <c r="D70" s="923"/>
      <c r="E70" s="921"/>
      <c r="F70" s="259" t="str">
        <f>'1115-F02 Informe PM'!G69</f>
        <v>Implementar el instructivo para la contabilización de las cuentas 251410 y 251401 desagregadas tercero a tercero.</v>
      </c>
      <c r="G70" s="217" t="str">
        <f>'1115-F02 Informe PM'!H69</f>
        <v>Gestion Contable</v>
      </c>
      <c r="H70" s="217" t="str">
        <f>'1115-F02 Informe PM'!I69</f>
        <v>Documento</v>
      </c>
      <c r="I70" s="217">
        <f>'1115-F02 Informe PM'!J69</f>
        <v>1</v>
      </c>
      <c r="J70" s="218">
        <f>'1115-F02 Informe PM'!L69</f>
        <v>44316</v>
      </c>
      <c r="K70" s="367">
        <v>0</v>
      </c>
      <c r="L70" s="1172" t="str">
        <f t="shared" si="10"/>
        <v xml:space="preserve">Vigente </v>
      </c>
      <c r="M70" s="1175" t="s">
        <v>526</v>
      </c>
      <c r="N70" s="977" t="s">
        <v>527</v>
      </c>
      <c r="O70" s="977"/>
      <c r="P70" s="977"/>
      <c r="Q70" s="978"/>
      <c r="R70" s="36">
        <f t="shared" si="1"/>
        <v>0</v>
      </c>
      <c r="S70" s="28">
        <f t="shared" si="2"/>
        <v>0</v>
      </c>
      <c r="T70" s="834"/>
      <c r="U70" s="942"/>
      <c r="V70" s="876"/>
      <c r="W70" s="515"/>
      <c r="X70" s="515">
        <f t="shared" si="3"/>
        <v>0</v>
      </c>
      <c r="Y70" s="864"/>
      <c r="Z70" s="866"/>
      <c r="AA70" s="866"/>
      <c r="AB70" s="869"/>
      <c r="AC70" s="936"/>
      <c r="AD70" s="869"/>
      <c r="AE70" s="874"/>
      <c r="AF70" s="857"/>
    </row>
    <row r="71" spans="1:32" s="27" customFormat="1" ht="59.25" customHeight="1" thickBot="1" x14ac:dyDescent="0.25">
      <c r="A71" s="990"/>
      <c r="B71" s="900"/>
      <c r="C71" s="938"/>
      <c r="D71" s="939"/>
      <c r="E71" s="940"/>
      <c r="F71" s="272" t="str">
        <f>'1115-F02 Informe PM'!G70</f>
        <v>Socializar el instructivo para la contabilización de las cuentas 251410 y 251401 desagregadas tercero a tercero.</v>
      </c>
      <c r="G71" s="250" t="str">
        <f>'1115-F02 Informe PM'!H70</f>
        <v>Gestion Contable</v>
      </c>
      <c r="H71" s="250" t="str">
        <f>'1115-F02 Informe PM'!I70</f>
        <v>Documento</v>
      </c>
      <c r="I71" s="250">
        <f>'1115-F02 Informe PM'!J70</f>
        <v>1</v>
      </c>
      <c r="J71" s="251">
        <f>'1115-F02 Informe PM'!L70</f>
        <v>44347</v>
      </c>
      <c r="K71" s="370">
        <v>0</v>
      </c>
      <c r="L71" s="1173" t="str">
        <f t="shared" si="10"/>
        <v xml:space="preserve">Vigente </v>
      </c>
      <c r="M71" s="1174" t="s">
        <v>526</v>
      </c>
      <c r="N71" s="1179" t="s">
        <v>527</v>
      </c>
      <c r="O71" s="1179"/>
      <c r="P71" s="1179"/>
      <c r="Q71" s="1180"/>
      <c r="R71" s="48">
        <f t="shared" si="1"/>
        <v>0</v>
      </c>
      <c r="S71" s="49">
        <f t="shared" si="2"/>
        <v>0</v>
      </c>
      <c r="T71" s="847"/>
      <c r="U71" s="943"/>
      <c r="V71" s="890"/>
      <c r="W71" s="522"/>
      <c r="X71" s="522">
        <f t="shared" si="3"/>
        <v>0</v>
      </c>
      <c r="Y71" s="889"/>
      <c r="Z71" s="933"/>
      <c r="AA71" s="933"/>
      <c r="AB71" s="934"/>
      <c r="AC71" s="937"/>
      <c r="AD71" s="934"/>
      <c r="AE71" s="941"/>
      <c r="AF71" s="951"/>
    </row>
    <row r="72" spans="1:32" s="27" customFormat="1" ht="69" customHeight="1" x14ac:dyDescent="0.2">
      <c r="A72" s="883">
        <f>'1115-F02 Informe PM'!A71</f>
        <v>19</v>
      </c>
      <c r="B72" s="887" t="str">
        <f>'1115-F02 Informe PM'!B71</f>
        <v>19-2019</v>
      </c>
      <c r="C72" s="885" t="str">
        <f>'1115-F02 Informe PM'!C71</f>
        <v>HALLAZGO 19 NOTAS A LA INFORMACIÓN CONTABLE 
Incumpliendo lo anterior, la Universidad Tecnológica de Pereira a 31 de diciembre del 2019, omitió revelar en las notas explicativas a la información contable lo siguiente:
Cuentas por pagar:
•	La entidad revelará información relativa al valor en libros y a las condiciones de la cuenta por pagar, tales como: plazo, tasa de interés (de ser pactada) y vencimiento. 
Beneficios posempleo:
•	Una descripción general del tipo de beneficio posempleo, incluyendo la política de financiación.
•	La cuantía de las ganancias o pérdidas actuariales y de las ganancias o pérdidas del plan de activos para beneficios posempleo, reconocidas durante el periodo en el patrimonio.
•	La metodología aplicada para la medición del pasivo por beneficios posempleo, incluyendo una descripción de las principales suposiciones actuariales utilizadas.
•	Una descripción de las modificaciones, reducciones y liquidaciones de los beneficios posempleo, en caso de que estas se presenten.
•	Una conciliación de los saldos de apertura y cierre del pasivo por beneficios posempleo, de los activos que hacen parte del plan de activos para beneficios posempleo y de los derechos de reembolso, indicando los conceptos que dieron origen a las variaciones. 
•	Las razones por las cuales, debiendo reconocer los costos del servicio presente o los costos del servicio pasado en el resultado del periodo, no lo hizo. 
También se observó que, en la Nota 2 denominada Grupo 12- INVERSIONES E INSTRUMENTOS DERIVADOS, se incluyeron dos TES por $22.000.000.000 que no corresponden a este grupo sino al grupo 19 OTROS ACTIVOS, por tratarse de inversiones que hacen parte integral del plan de activos para beneficios posempleo</v>
      </c>
      <c r="D72" s="883" t="str">
        <f>'1115-F02 Informe PM'!D71</f>
        <v>Debilidades en el control interno contable</v>
      </c>
      <c r="E72" s="881" t="str">
        <f>'1115-F02 Informe PM'!F71</f>
        <v xml:space="preserve"> Implementación de un procedimiento para la solicitud de la información que conforma las Notas a la Información Contable</v>
      </c>
      <c r="F72" s="258" t="str">
        <f>'1115-F02 Informe PM'!G71</f>
        <v>Establecer el Procedimiento de requerida acuerdo a los parametros establecidos en la norma de la CGN,  para</v>
      </c>
      <c r="G72" s="213" t="str">
        <f>'1115-F02 Informe PM'!H71</f>
        <v>Gestion Contable</v>
      </c>
      <c r="H72" s="213" t="str">
        <f>'1115-F02 Informe PM'!I71</f>
        <v>Documento</v>
      </c>
      <c r="I72" s="213">
        <f>'1115-F02 Informe PM'!J71</f>
        <v>1</v>
      </c>
      <c r="J72" s="214">
        <f>'1115-F02 Informe PM'!L71</f>
        <v>44104</v>
      </c>
      <c r="K72" s="530">
        <v>1</v>
      </c>
      <c r="L72" s="1171" t="str">
        <f t="shared" si="10"/>
        <v>Finalizada</v>
      </c>
      <c r="M72" s="1175" t="s">
        <v>526</v>
      </c>
      <c r="N72" s="891" t="s">
        <v>434</v>
      </c>
      <c r="O72" s="994"/>
      <c r="P72" s="994"/>
      <c r="Q72" s="995"/>
      <c r="R72" s="35">
        <f t="shared" si="1"/>
        <v>1</v>
      </c>
      <c r="S72" s="26">
        <f t="shared" si="2"/>
        <v>0.33333333333333331</v>
      </c>
      <c r="T72" s="833">
        <f>(S72+S73+S74)/$V$10</f>
        <v>2.6315789473684209E-2</v>
      </c>
      <c r="U72" s="877" t="str">
        <f>IF(T72=$W$10, "CUMPLIDA", "PENDIENTE")</f>
        <v>CUMPLIDA</v>
      </c>
      <c r="V72" s="860" t="str">
        <f>IF(AND(T72=$W$10),$AB$9,$AB$10)</f>
        <v>HALLAZGO CON ACCIONES CUMPLIDAS</v>
      </c>
      <c r="W72" s="513" t="s">
        <v>93</v>
      </c>
      <c r="X72" s="513">
        <f t="shared" si="3"/>
        <v>3</v>
      </c>
      <c r="Y72" s="862">
        <f>AVERAGE(X72:X74)</f>
        <v>3</v>
      </c>
      <c r="Z72" s="865" t="str">
        <f>IF(Y72=3,$AB$5, IF(OR(X72=0, X73=0, X74=0),$AB$7,$AB$6))</f>
        <v xml:space="preserve">ACCION(ES) CUMPLIDA(S) </v>
      </c>
      <c r="AA72" s="865" t="str">
        <f>IF(Z72=$AB$5,$AB$5,IF(Z72=$AB$7,$AB$7,$AB$6))</f>
        <v xml:space="preserve">ACCION(ES) CUMPLIDA(S) </v>
      </c>
      <c r="AB72" s="868" t="s">
        <v>480</v>
      </c>
      <c r="AC72" s="935" t="s">
        <v>100</v>
      </c>
      <c r="AD72" s="868" t="s">
        <v>523</v>
      </c>
      <c r="AE72" s="873" t="str">
        <f>IF(AND(AA72=$AB$5, AC72=$AC$5),$AD$5,IF(AND(AA72=$AB$6, AC72=$AC$7),$AD$7,IF(AND(AA72=$AB$5, AC72=$AC$7),$AD$7,$AD$6)))</f>
        <v>HALLAZGO PENDIENTE DE EVALUACION - Acciones no finalizadas, o acciones que siendo finalizadas, no se puede comprobar la efectividad en el periodo.</v>
      </c>
      <c r="AF72" s="950"/>
    </row>
    <row r="73" spans="1:32" s="27" customFormat="1" ht="76.5" customHeight="1" x14ac:dyDescent="0.2">
      <c r="A73" s="923"/>
      <c r="B73" s="899"/>
      <c r="C73" s="925"/>
      <c r="D73" s="923"/>
      <c r="E73" s="921"/>
      <c r="F73" s="259" t="str">
        <f>'1115-F02 Informe PM'!G72</f>
        <v>Adoptar el procedimiento requerido para la solicitud de la información entregada por las dependencias para la conformación de las Notas de la Información contable.</v>
      </c>
      <c r="G73" s="217" t="str">
        <f>'1115-F02 Informe PM'!H72</f>
        <v>Gestion Contable</v>
      </c>
      <c r="H73" s="217" t="str">
        <f>'1115-F02 Informe PM'!I72</f>
        <v>Documento</v>
      </c>
      <c r="I73" s="217">
        <f>'1115-F02 Informe PM'!J72</f>
        <v>1</v>
      </c>
      <c r="J73" s="218">
        <f>'1115-F02 Informe PM'!L72</f>
        <v>44134</v>
      </c>
      <c r="K73" s="531">
        <v>1</v>
      </c>
      <c r="L73" s="1172" t="str">
        <f t="shared" si="10"/>
        <v>Finalizada</v>
      </c>
      <c r="M73" s="1175" t="s">
        <v>526</v>
      </c>
      <c r="N73" s="965" t="s">
        <v>468</v>
      </c>
      <c r="O73" s="966"/>
      <c r="P73" s="966"/>
      <c r="Q73" s="967"/>
      <c r="R73" s="36">
        <f t="shared" si="1"/>
        <v>1</v>
      </c>
      <c r="S73" s="28">
        <f t="shared" si="2"/>
        <v>0.33333333333333331</v>
      </c>
      <c r="T73" s="834"/>
      <c r="U73" s="878"/>
      <c r="V73" s="876"/>
      <c r="W73" s="515" t="s">
        <v>93</v>
      </c>
      <c r="X73" s="515">
        <f t="shared" si="3"/>
        <v>3</v>
      </c>
      <c r="Y73" s="864"/>
      <c r="Z73" s="866"/>
      <c r="AA73" s="866"/>
      <c r="AB73" s="869"/>
      <c r="AC73" s="936"/>
      <c r="AD73" s="869"/>
      <c r="AE73" s="874"/>
      <c r="AF73" s="857"/>
    </row>
    <row r="74" spans="1:32" s="27" customFormat="1" ht="137.25" customHeight="1" thickBot="1" x14ac:dyDescent="0.25">
      <c r="A74" s="884"/>
      <c r="B74" s="888"/>
      <c r="C74" s="886"/>
      <c r="D74" s="884"/>
      <c r="E74" s="882"/>
      <c r="F74" s="260" t="str">
        <f>'1115-F02 Informe PM'!G73</f>
        <v>Socializar el procedimiento requerido para la solicitud de la información entregada por las dependencias para la conformación de las Notas de la Información contable.</v>
      </c>
      <c r="G74" s="215" t="str">
        <f>'1115-F02 Informe PM'!H73</f>
        <v>Gestion Contable</v>
      </c>
      <c r="H74" s="215" t="str">
        <f>'1115-F02 Informe PM'!I73</f>
        <v>Documento</v>
      </c>
      <c r="I74" s="215">
        <f>'1115-F02 Informe PM'!J73</f>
        <v>1</v>
      </c>
      <c r="J74" s="216">
        <f>'1115-F02 Informe PM'!L73</f>
        <v>44165</v>
      </c>
      <c r="K74" s="533">
        <v>1</v>
      </c>
      <c r="L74" s="1174" t="str">
        <f t="shared" si="10"/>
        <v>Finalizada</v>
      </c>
      <c r="M74" s="1174" t="s">
        <v>526</v>
      </c>
      <c r="N74" s="996" t="s">
        <v>469</v>
      </c>
      <c r="O74" s="997"/>
      <c r="P74" s="997"/>
      <c r="Q74" s="998"/>
      <c r="R74" s="48">
        <f t="shared" si="1"/>
        <v>1</v>
      </c>
      <c r="S74" s="49">
        <f t="shared" si="2"/>
        <v>0.33333333333333331</v>
      </c>
      <c r="T74" s="847"/>
      <c r="U74" s="879"/>
      <c r="V74" s="890"/>
      <c r="W74" s="522" t="s">
        <v>93</v>
      </c>
      <c r="X74" s="522">
        <f t="shared" si="3"/>
        <v>3</v>
      </c>
      <c r="Y74" s="889"/>
      <c r="Z74" s="933"/>
      <c r="AA74" s="933"/>
      <c r="AB74" s="934"/>
      <c r="AC74" s="937"/>
      <c r="AD74" s="934"/>
      <c r="AE74" s="941"/>
      <c r="AF74" s="951"/>
    </row>
    <row r="75" spans="1:32" s="27" customFormat="1" ht="62.25" customHeight="1" x14ac:dyDescent="0.2">
      <c r="A75" s="979">
        <f>'1115-F02 Informe PM'!A74</f>
        <v>20</v>
      </c>
      <c r="B75" s="926" t="str">
        <f>'1115-F02 Informe PM'!B74</f>
        <v>20-2019</v>
      </c>
      <c r="C75" s="924" t="str">
        <f>'1115-F02 Informe PM'!C74</f>
        <v>HALLAZGO 20 PASIVOS EXIGIBLES 
Incumpliendo las normas citadas, en la Universidad Tecnológica de Pereira, no constituyó dos cuentas por pagar en las vigencias anteriores por $8.160.430, a pesar de haber recibido a satisfacción los servicios contratados y de haber existido el respaldo presupuestal y disponibilidad de recursos, debiendo recurrir en la vigencia 2019, al mecanismo de pasivos exigibles – vigencias expiradas para el cumplimiento de las siguientes obligaciones (ver tabla 25 Informe)</v>
      </c>
      <c r="D75" s="922" t="str">
        <f>'1115-F02 Informe PM'!D74</f>
        <v>Debilidades en la supervisión contractual y en los controles establecidos para el cierre presupuestal</v>
      </c>
      <c r="E75" s="920" t="str">
        <f>'1115-F02 Informe PM'!F74</f>
        <v xml:space="preserve">
Actualización de Documentación interna que permita tener directrices claras sobre el pago de pasivos exigibles, vigencias expiradas y generación de cuentas por pagar</v>
      </c>
      <c r="F75" s="261" t="str">
        <f>'1115-F02 Informe PM'!G74</f>
        <v>Elaborar Propuesta actualización del estatuto presupuestal frente al tema de pasivos exigibles - vigencia expirada y cuentas por pagar</v>
      </c>
      <c r="G75" s="248" t="str">
        <f>'1115-F02 Informe PM'!H74</f>
        <v>Gestión de Presupuesto</v>
      </c>
      <c r="H75" s="248" t="str">
        <f>'1115-F02 Informe PM'!I74</f>
        <v xml:space="preserve">Documento </v>
      </c>
      <c r="I75" s="248">
        <f>'1115-F02 Informe PM'!J74</f>
        <v>1</v>
      </c>
      <c r="J75" s="249">
        <f>'1115-F02 Informe PM'!L74</f>
        <v>44135</v>
      </c>
      <c r="K75" s="534">
        <v>1</v>
      </c>
      <c r="L75" s="1175" t="str">
        <f t="shared" si="10"/>
        <v>Finalizada</v>
      </c>
      <c r="M75" s="1175" t="s">
        <v>526</v>
      </c>
      <c r="N75" s="968" t="s">
        <v>441</v>
      </c>
      <c r="O75" s="969"/>
      <c r="P75" s="969"/>
      <c r="Q75" s="970"/>
      <c r="R75" s="35">
        <f t="shared" si="1"/>
        <v>1</v>
      </c>
      <c r="S75" s="26">
        <f>(R75)/9</f>
        <v>0.1111111111111111</v>
      </c>
      <c r="T75" s="833">
        <f>(S75+S76+S77+S78+S79+S80+S81+S82+S83)/$V$10</f>
        <v>1.754385964912281E-2</v>
      </c>
      <c r="U75" s="949" t="str">
        <f>IF(T75=$W$10, "CUMPLIDA", "PENDIENTE")</f>
        <v>PENDIENTE</v>
      </c>
      <c r="V75" s="860" t="str">
        <f>IF(AND(T75=$W$10),$AB$9,$AB$10)</f>
        <v>HALLAZGO PENDIENTE DE CUMPLIMIENTO DE ACCION</v>
      </c>
      <c r="W75" s="513" t="s">
        <v>93</v>
      </c>
      <c r="X75" s="513">
        <f t="shared" si="3"/>
        <v>3</v>
      </c>
      <c r="Y75" s="862">
        <f>AVERAGE(X75:X83)</f>
        <v>2</v>
      </c>
      <c r="Z75" s="865" t="str">
        <f>IF(Y75=3,$AB$5, IF(Y75=0,$AB$7,$AB$6))</f>
        <v>ACCION(ES) PARCIALMENTE CUMPLIDA(S)</v>
      </c>
      <c r="AA75" s="865" t="str">
        <f>IF(Z75=$AB$5,$AB$5,IF(Z75=$AB$7,$AB$7,$AB$6))</f>
        <v>ACCION(ES) PARCIALMENTE CUMPLIDA(S)</v>
      </c>
      <c r="AB75" s="868" t="s">
        <v>475</v>
      </c>
      <c r="AC75" s="935" t="s">
        <v>100</v>
      </c>
      <c r="AD75" s="868" t="s">
        <v>476</v>
      </c>
      <c r="AE75" s="873" t="str">
        <f>IF(AND(AA75=$AB$5, AC75=$AC$5),$AD$5,IF(AND(AA75=$AB$6, AC75=$AC$7),$AD$7,IF(AND(AA75=$AB$5, AC75=$AC$7),$AD$7,$AD$6)))</f>
        <v>HALLAZGO PENDIENTE DE EVALUACION - Acciones no finalizadas, o acciones que siendo finalizadas, no se puede comprobar la efectividad en el periodo.</v>
      </c>
      <c r="AF75" s="950"/>
    </row>
    <row r="76" spans="1:32" s="27" customFormat="1" ht="171" customHeight="1" x14ac:dyDescent="0.2">
      <c r="A76" s="980"/>
      <c r="B76" s="899"/>
      <c r="C76" s="925"/>
      <c r="D76" s="923"/>
      <c r="E76" s="921"/>
      <c r="F76" s="259" t="str">
        <f>'1115-F02 Informe PM'!G75</f>
        <v xml:space="preserve">Presentar propuesta de actualización del estatuto presupuestal al equipo de gestión financiera y al Vicerrector Admnistrativo para los fines pertinentes ante comité directivo </v>
      </c>
      <c r="G76" s="217" t="str">
        <f>'1115-F02 Informe PM'!H75</f>
        <v>Gestión de presupuesto</v>
      </c>
      <c r="H76" s="217" t="str">
        <f>'1115-F02 Informe PM'!I75</f>
        <v>Acta</v>
      </c>
      <c r="I76" s="217">
        <f>'1115-F02 Informe PM'!J75</f>
        <v>1</v>
      </c>
      <c r="J76" s="218">
        <f>'1115-F02 Informe PM'!L75</f>
        <v>44135</v>
      </c>
      <c r="K76" s="531">
        <v>1</v>
      </c>
      <c r="L76" s="1172" t="str">
        <f t="shared" si="10"/>
        <v>Finalizada</v>
      </c>
      <c r="M76" s="1175" t="s">
        <v>526</v>
      </c>
      <c r="N76" s="971" t="s">
        <v>442</v>
      </c>
      <c r="O76" s="972"/>
      <c r="P76" s="972"/>
      <c r="Q76" s="973"/>
      <c r="R76" s="36">
        <f t="shared" si="1"/>
        <v>1</v>
      </c>
      <c r="S76" s="28">
        <f t="shared" ref="S76:S83" si="25">(R76)/9</f>
        <v>0.1111111111111111</v>
      </c>
      <c r="T76" s="834"/>
      <c r="U76" s="942"/>
      <c r="V76" s="876"/>
      <c r="W76" s="515" t="s">
        <v>93</v>
      </c>
      <c r="X76" s="515">
        <f t="shared" si="3"/>
        <v>3</v>
      </c>
      <c r="Y76" s="864"/>
      <c r="Z76" s="866"/>
      <c r="AA76" s="866"/>
      <c r="AB76" s="869"/>
      <c r="AC76" s="936"/>
      <c r="AD76" s="869"/>
      <c r="AE76" s="874"/>
      <c r="AF76" s="857"/>
    </row>
    <row r="77" spans="1:32" s="27" customFormat="1" ht="65.25" customHeight="1" x14ac:dyDescent="0.2">
      <c r="A77" s="980"/>
      <c r="B77" s="899"/>
      <c r="C77" s="925"/>
      <c r="D77" s="923"/>
      <c r="E77" s="921"/>
      <c r="F77" s="259" t="str">
        <f>'1115-F02 Informe PM'!G76</f>
        <v>Presentar propuesta de actualización del estatuto avalada por el comité directivo al Consejo Superior</v>
      </c>
      <c r="G77" s="217" t="str">
        <f>'1115-F02 Informe PM'!H76</f>
        <v xml:space="preserve">Gestión Financiera </v>
      </c>
      <c r="H77" s="217" t="str">
        <f>'1115-F02 Informe PM'!I76</f>
        <v>Memorando</v>
      </c>
      <c r="I77" s="217">
        <f>'1115-F02 Informe PM'!J76</f>
        <v>1</v>
      </c>
      <c r="J77" s="218">
        <f>'1115-F02 Informe PM'!L76</f>
        <v>44353</v>
      </c>
      <c r="K77" s="367">
        <v>0</v>
      </c>
      <c r="L77" s="1172" t="str">
        <f t="shared" si="10"/>
        <v xml:space="preserve">Vigente </v>
      </c>
      <c r="M77" s="1175" t="s">
        <v>526</v>
      </c>
      <c r="N77" s="977" t="s">
        <v>527</v>
      </c>
      <c r="O77" s="977"/>
      <c r="P77" s="977"/>
      <c r="Q77" s="978"/>
      <c r="R77" s="36">
        <f t="shared" si="1"/>
        <v>0</v>
      </c>
      <c r="S77" s="28">
        <f t="shared" si="25"/>
        <v>0</v>
      </c>
      <c r="T77" s="834"/>
      <c r="U77" s="942"/>
      <c r="V77" s="876"/>
      <c r="W77" s="515"/>
      <c r="X77" s="515">
        <f t="shared" si="3"/>
        <v>0</v>
      </c>
      <c r="Y77" s="864"/>
      <c r="Z77" s="866"/>
      <c r="AA77" s="866"/>
      <c r="AB77" s="869"/>
      <c r="AC77" s="936"/>
      <c r="AD77" s="869"/>
      <c r="AE77" s="874"/>
      <c r="AF77" s="857"/>
    </row>
    <row r="78" spans="1:32" s="27" customFormat="1" ht="67.5" customHeight="1" x14ac:dyDescent="0.2">
      <c r="A78" s="980"/>
      <c r="B78" s="899"/>
      <c r="C78" s="925"/>
      <c r="D78" s="923"/>
      <c r="E78" s="921"/>
      <c r="F78" s="259" t="str">
        <f>'1115-F02 Informe PM'!G77</f>
        <v xml:space="preserve">Elaborar Propuesta de actualización de procedimiento de Pago de pasivo exigible - vigencia expirada </v>
      </c>
      <c r="G78" s="217" t="str">
        <f>'1115-F02 Informe PM'!H77</f>
        <v>Gestión de presupuesto</v>
      </c>
      <c r="H78" s="217" t="str">
        <f>'1115-F02 Informe PM'!I77</f>
        <v xml:space="preserve">Documento </v>
      </c>
      <c r="I78" s="217">
        <f>'1115-F02 Informe PM'!J77</f>
        <v>1</v>
      </c>
      <c r="J78" s="218">
        <f>'1115-F02 Informe PM'!L77</f>
        <v>44227</v>
      </c>
      <c r="K78" s="531">
        <v>1</v>
      </c>
      <c r="L78" s="1172" t="str">
        <f t="shared" si="10"/>
        <v>Finalizada</v>
      </c>
      <c r="M78" s="1175" t="s">
        <v>526</v>
      </c>
      <c r="N78" s="954" t="s">
        <v>454</v>
      </c>
      <c r="O78" s="954"/>
      <c r="P78" s="954"/>
      <c r="Q78" s="955"/>
      <c r="R78" s="36">
        <f t="shared" si="1"/>
        <v>1</v>
      </c>
      <c r="S78" s="28">
        <f t="shared" si="25"/>
        <v>0.1111111111111111</v>
      </c>
      <c r="T78" s="834"/>
      <c r="U78" s="942"/>
      <c r="V78" s="876"/>
      <c r="W78" s="515" t="s">
        <v>93</v>
      </c>
      <c r="X78" s="515">
        <f t="shared" si="3"/>
        <v>3</v>
      </c>
      <c r="Y78" s="864"/>
      <c r="Z78" s="866"/>
      <c r="AA78" s="866"/>
      <c r="AB78" s="869"/>
      <c r="AC78" s="936"/>
      <c r="AD78" s="869"/>
      <c r="AE78" s="874"/>
      <c r="AF78" s="857"/>
    </row>
    <row r="79" spans="1:32" s="27" customFormat="1" ht="110.25" customHeight="1" x14ac:dyDescent="0.2">
      <c r="A79" s="980"/>
      <c r="B79" s="899"/>
      <c r="C79" s="925"/>
      <c r="D79" s="923"/>
      <c r="E79" s="921"/>
      <c r="F79" s="259" t="str">
        <f>'1115-F02 Informe PM'!G78</f>
        <v>Remitir propuesta de procedimiento de Pago de pasivo exigible - vigencia expirada a las dependencias involucradas para su revisión y obsevaciones a Jurídica, Secretaria General, Control Interno, Gestión Contable y Jefe Financiero.</v>
      </c>
      <c r="G79" s="217" t="str">
        <f>'1115-F02 Informe PM'!H78</f>
        <v>Gestión de presupuesto</v>
      </c>
      <c r="H79" s="217" t="str">
        <f>'1115-F02 Informe PM'!I78</f>
        <v>Correo electrónico</v>
      </c>
      <c r="I79" s="217">
        <f>'1115-F02 Informe PM'!J78</f>
        <v>1</v>
      </c>
      <c r="J79" s="218">
        <f>'1115-F02 Informe PM'!L78</f>
        <v>44227</v>
      </c>
      <c r="K79" s="531">
        <v>1</v>
      </c>
      <c r="L79" s="1172" t="str">
        <f t="shared" si="10"/>
        <v>Finalizada</v>
      </c>
      <c r="M79" s="1175" t="s">
        <v>526</v>
      </c>
      <c r="N79" s="954" t="s">
        <v>443</v>
      </c>
      <c r="O79" s="954"/>
      <c r="P79" s="954"/>
      <c r="Q79" s="955"/>
      <c r="R79" s="36">
        <f t="shared" si="1"/>
        <v>1</v>
      </c>
      <c r="S79" s="28">
        <f t="shared" si="25"/>
        <v>0.1111111111111111</v>
      </c>
      <c r="T79" s="834"/>
      <c r="U79" s="942"/>
      <c r="V79" s="876"/>
      <c r="W79" s="515" t="s">
        <v>93</v>
      </c>
      <c r="X79" s="515">
        <f t="shared" si="3"/>
        <v>3</v>
      </c>
      <c r="Y79" s="864"/>
      <c r="Z79" s="866"/>
      <c r="AA79" s="866"/>
      <c r="AB79" s="869"/>
      <c r="AC79" s="936"/>
      <c r="AD79" s="869"/>
      <c r="AE79" s="874"/>
      <c r="AF79" s="857"/>
    </row>
    <row r="80" spans="1:32" s="27" customFormat="1" ht="57.75" customHeight="1" x14ac:dyDescent="0.2">
      <c r="A80" s="980"/>
      <c r="B80" s="899"/>
      <c r="C80" s="925"/>
      <c r="D80" s="923"/>
      <c r="E80" s="921"/>
      <c r="F80" s="259" t="str">
        <f>'1115-F02 Informe PM'!G79</f>
        <v>Elaborar Propuesta de actualización de procedimiento generación de cuentas por pagar</v>
      </c>
      <c r="G80" s="217" t="str">
        <f>'1115-F02 Informe PM'!H79</f>
        <v>Gestion Contable</v>
      </c>
      <c r="H80" s="217" t="str">
        <f>'1115-F02 Informe PM'!I79</f>
        <v xml:space="preserve">Documento </v>
      </c>
      <c r="I80" s="217">
        <f>'1115-F02 Informe PM'!J79</f>
        <v>1</v>
      </c>
      <c r="J80" s="218">
        <f>'1115-F02 Informe PM'!L79</f>
        <v>44227</v>
      </c>
      <c r="K80" s="367">
        <v>1</v>
      </c>
      <c r="L80" s="1172" t="str">
        <f t="shared" ref="L80:L117" si="26">IF(K80=I80,$AA$9,IF(AND(K80&lt;I80,J80&lt;$D$11),$AA$10,$AA$11))</f>
        <v>Finalizada</v>
      </c>
      <c r="M80" s="1175" t="s">
        <v>526</v>
      </c>
      <c r="N80" s="952" t="s">
        <v>514</v>
      </c>
      <c r="O80" s="952"/>
      <c r="P80" s="952"/>
      <c r="Q80" s="953"/>
      <c r="R80" s="36">
        <f t="shared" si="1"/>
        <v>1</v>
      </c>
      <c r="S80" s="28">
        <f t="shared" si="25"/>
        <v>0.1111111111111111</v>
      </c>
      <c r="T80" s="834"/>
      <c r="U80" s="942"/>
      <c r="V80" s="876"/>
      <c r="W80" s="515" t="s">
        <v>93</v>
      </c>
      <c r="X80" s="515">
        <f t="shared" ref="X80:X117" si="27">IF(W80="",0,IF(W80=$AA$5,3,IF(W80=$AA$7,0,2)))</f>
        <v>3</v>
      </c>
      <c r="Y80" s="864"/>
      <c r="Z80" s="866"/>
      <c r="AA80" s="866"/>
      <c r="AB80" s="869"/>
      <c r="AC80" s="936"/>
      <c r="AD80" s="869"/>
      <c r="AE80" s="874"/>
      <c r="AF80" s="857"/>
    </row>
    <row r="81" spans="1:32" s="27" customFormat="1" ht="100.5" customHeight="1" x14ac:dyDescent="0.2">
      <c r="A81" s="980"/>
      <c r="B81" s="899"/>
      <c r="C81" s="925"/>
      <c r="D81" s="923"/>
      <c r="E81" s="921"/>
      <c r="F81" s="259" t="str">
        <f>'1115-F02 Informe PM'!G80</f>
        <v>Remitir propuesta  generación de cuentas por pagar a las dependencias involucradas para su revisión y obsevaciones a Jurídica, Control Interno, Tesorero, Gestión de presupuesto y Jefe Financiero.</v>
      </c>
      <c r="G81" s="217" t="str">
        <f>'1115-F02 Informe PM'!H80</f>
        <v>Gestion Contable</v>
      </c>
      <c r="H81" s="217" t="str">
        <f>'1115-F02 Informe PM'!I80</f>
        <v>Correo electrónico</v>
      </c>
      <c r="I81" s="217">
        <f>'1115-F02 Informe PM'!J80</f>
        <v>1</v>
      </c>
      <c r="J81" s="218">
        <f>'1115-F02 Informe PM'!L80</f>
        <v>44227</v>
      </c>
      <c r="K81" s="367">
        <v>1</v>
      </c>
      <c r="L81" s="1172" t="str">
        <f t="shared" si="26"/>
        <v>Finalizada</v>
      </c>
      <c r="M81" s="1175" t="s">
        <v>526</v>
      </c>
      <c r="N81" s="952" t="s">
        <v>505</v>
      </c>
      <c r="O81" s="952"/>
      <c r="P81" s="952"/>
      <c r="Q81" s="953"/>
      <c r="R81" s="36">
        <f t="shared" ref="R81:R93" si="28">K81/I81</f>
        <v>1</v>
      </c>
      <c r="S81" s="28">
        <f t="shared" si="25"/>
        <v>0.1111111111111111</v>
      </c>
      <c r="T81" s="834"/>
      <c r="U81" s="942"/>
      <c r="V81" s="876"/>
      <c r="W81" s="515" t="s">
        <v>93</v>
      </c>
      <c r="X81" s="515">
        <f t="shared" si="27"/>
        <v>3</v>
      </c>
      <c r="Y81" s="864"/>
      <c r="Z81" s="866"/>
      <c r="AA81" s="866"/>
      <c r="AB81" s="869"/>
      <c r="AC81" s="936"/>
      <c r="AD81" s="869"/>
      <c r="AE81" s="874"/>
      <c r="AF81" s="857"/>
    </row>
    <row r="82" spans="1:32" s="27" customFormat="1" ht="90" customHeight="1" x14ac:dyDescent="0.2">
      <c r="A82" s="980"/>
      <c r="B82" s="899"/>
      <c r="C82" s="925"/>
      <c r="D82" s="923"/>
      <c r="E82" s="921"/>
      <c r="F82" s="259" t="str">
        <f>'1115-F02 Informe PM'!G81</f>
        <v>Solicitar  al Sistema Integral de Gestión de incluir los procedimientos de pasivo exigible  - vigencia expirada y  generación de cuentas por pagar una vez hayan sido aprobados actualizados por los actores</v>
      </c>
      <c r="G82" s="217" t="str">
        <f>'1115-F02 Informe PM'!H81</f>
        <v xml:space="preserve">Gestión Financiera </v>
      </c>
      <c r="H82" s="217" t="str">
        <f>'1115-F02 Informe PM'!I81</f>
        <v xml:space="preserve">Formato de solicitud de cambio </v>
      </c>
      <c r="I82" s="217">
        <f>'1115-F02 Informe PM'!J81</f>
        <v>2</v>
      </c>
      <c r="J82" s="218">
        <f>'1115-F02 Informe PM'!L81</f>
        <v>44349</v>
      </c>
      <c r="K82" s="367">
        <v>0</v>
      </c>
      <c r="L82" s="1172" t="str">
        <f t="shared" si="26"/>
        <v xml:space="preserve">Vigente </v>
      </c>
      <c r="M82" s="1175" t="s">
        <v>526</v>
      </c>
      <c r="N82" s="977" t="s">
        <v>527</v>
      </c>
      <c r="O82" s="977"/>
      <c r="P82" s="977"/>
      <c r="Q82" s="978"/>
      <c r="R82" s="36">
        <f t="shared" si="28"/>
        <v>0</v>
      </c>
      <c r="S82" s="28">
        <f t="shared" si="25"/>
        <v>0</v>
      </c>
      <c r="T82" s="834"/>
      <c r="U82" s="942"/>
      <c r="V82" s="876"/>
      <c r="W82" s="515"/>
      <c r="X82" s="515">
        <f t="shared" si="27"/>
        <v>0</v>
      </c>
      <c r="Y82" s="864"/>
      <c r="Z82" s="866"/>
      <c r="AA82" s="866"/>
      <c r="AB82" s="869"/>
      <c r="AC82" s="936"/>
      <c r="AD82" s="869"/>
      <c r="AE82" s="874"/>
      <c r="AF82" s="857"/>
    </row>
    <row r="83" spans="1:32" s="27" customFormat="1" ht="58.5" customHeight="1" thickBot="1" x14ac:dyDescent="0.25">
      <c r="A83" s="981"/>
      <c r="B83" s="888"/>
      <c r="C83" s="886"/>
      <c r="D83" s="884"/>
      <c r="E83" s="882"/>
      <c r="F83" s="260" t="str">
        <f>'1115-F02 Informe PM'!G82</f>
        <v>Socializar a la comunidad universitaria sobre los cambios en la normatividad y procedimientos</v>
      </c>
      <c r="G83" s="215" t="str">
        <f>'1115-F02 Informe PM'!H82</f>
        <v>Jefe Financiera</v>
      </c>
      <c r="H83" s="215" t="str">
        <f>'1115-F02 Informe PM'!I82</f>
        <v xml:space="preserve">Documento </v>
      </c>
      <c r="I83" s="215">
        <f>'1115-F02 Informe PM'!J82</f>
        <v>3</v>
      </c>
      <c r="J83" s="216">
        <f>'1115-F02 Informe PM'!L82</f>
        <v>44530</v>
      </c>
      <c r="K83" s="368">
        <v>0</v>
      </c>
      <c r="L83" s="1174" t="str">
        <f t="shared" si="26"/>
        <v xml:space="preserve">Vigente </v>
      </c>
      <c r="M83" s="1174" t="s">
        <v>526</v>
      </c>
      <c r="N83" s="1181" t="s">
        <v>527</v>
      </c>
      <c r="O83" s="1181"/>
      <c r="P83" s="1181"/>
      <c r="Q83" s="1182"/>
      <c r="R83" s="48">
        <f t="shared" si="28"/>
        <v>0</v>
      </c>
      <c r="S83" s="49">
        <f t="shared" si="25"/>
        <v>0</v>
      </c>
      <c r="T83" s="847"/>
      <c r="U83" s="943"/>
      <c r="V83" s="890"/>
      <c r="W83" s="522"/>
      <c r="X83" s="522">
        <f t="shared" si="27"/>
        <v>0</v>
      </c>
      <c r="Y83" s="889"/>
      <c r="Z83" s="933"/>
      <c r="AA83" s="933"/>
      <c r="AB83" s="934"/>
      <c r="AC83" s="937"/>
      <c r="AD83" s="934"/>
      <c r="AE83" s="941"/>
      <c r="AF83" s="951"/>
    </row>
    <row r="84" spans="1:32" s="27" customFormat="1" ht="55.5" customHeight="1" x14ac:dyDescent="0.2">
      <c r="A84" s="922">
        <f>'1115-F02 Informe PM'!A83</f>
        <v>21</v>
      </c>
      <c r="B84" s="926" t="str">
        <f>'1115-F02 Informe PM'!B83</f>
        <v>21-2019</v>
      </c>
      <c r="C84" s="924" t="str">
        <f>'1115-F02 Informe PM'!C83</f>
        <v>HALLAZGO 21 CONTRATOS 5843 y 5657 SISTEMAS DE DETECCIÓN DE INCENDIOS 
La Universidad Tecnológica de Pereira, suscribió los contratos de obra N°5657 de 2018, liquidado el 27 de agosto 2019, el cual tiene por objeto la instalación y puesta en funcionamiento del sistema de detección de incendios para el bloque 7 de la Universidad Tecnológica de Pereira, por $154.114.325 y valor pagado por $153.322.678; así como, el contrato N°5843 de 2019, en ejecución, el cual tiene por objeto la automatización de espacios físicos e instalación del sistema de detección de incendios en el edificio N°9 e instalación de elementos del sistema de control de acceso de la Universidad Tecnológica de Pereira, por $164.918.930.
En la revisión documental a los estudios previos, pliegos de condiciones y demás documentos precontractuales de estos dos contratos, se evidenció que se soporta la necesidad de estas contrataciones en el cumplimiento de los títulos J) y K) de la NSR10; además, en el contrato N°5843 de 2019 se menciona y adjunta la tabla J.4.2.1 del título J) de la NSR 10, la cual fue suprimida mediante el Decreto 0092 de 2011 del Ministerio de Ambiente, Vivienda y Desarrollo Territorial, modificatorio del título J) de la NSR10, títulos y tablas que fueron suprimidas. Esto es, que los estudios previos referenciados, fueron sustentados en normas modificadas</v>
      </c>
      <c r="D84" s="922" t="str">
        <f>'1115-F02 Informe PM'!D83</f>
        <v>Debido a debilidades de control y falencias en las labores de planeación en la etapa precontractual</v>
      </c>
      <c r="E84" s="920" t="str">
        <f>'1115-F02 Informe PM'!F83</f>
        <v>Construcción de un banco de normas técnicas relacionadas con diseños de infraestructura física</v>
      </c>
      <c r="F84" s="261" t="str">
        <f>'1115-F02 Informe PM'!G83</f>
        <v xml:space="preserve">Priorizar las normas técnicas relacionadas con diseños de infraestructura física que haran parte del banco de normas </v>
      </c>
      <c r="G84" s="248" t="str">
        <f>'1115-F02 Informe PM'!H83</f>
        <v>Oficina de Planeación</v>
      </c>
      <c r="H84" s="248" t="str">
        <f>'1115-F02 Informe PM'!I83</f>
        <v>Acta de reunión</v>
      </c>
      <c r="I84" s="248">
        <f>'1115-F02 Informe PM'!J83</f>
        <v>2</v>
      </c>
      <c r="J84" s="249">
        <f>'1115-F02 Informe PM'!L83</f>
        <v>44099</v>
      </c>
      <c r="K84" s="534">
        <v>2</v>
      </c>
      <c r="L84" s="1175" t="str">
        <f t="shared" si="26"/>
        <v>Finalizada</v>
      </c>
      <c r="M84" s="1175" t="s">
        <v>526</v>
      </c>
      <c r="N84" s="968" t="s">
        <v>430</v>
      </c>
      <c r="O84" s="968"/>
      <c r="P84" s="968"/>
      <c r="Q84" s="974"/>
      <c r="R84" s="35">
        <f t="shared" si="28"/>
        <v>1</v>
      </c>
      <c r="S84" s="26">
        <f>(R84)/4</f>
        <v>0.25</v>
      </c>
      <c r="T84" s="833">
        <f>(S84+S85+S86+S87)/$V$10</f>
        <v>2.6315789473684209E-2</v>
      </c>
      <c r="U84" s="877" t="str">
        <f>IF(T84=$W$10, "CUMPLIDA", "PENDIENTE")</f>
        <v>CUMPLIDA</v>
      </c>
      <c r="V84" s="860" t="str">
        <f>IF(AND(T84=$W$10),$AB$9,$AB$10)</f>
        <v>HALLAZGO CON ACCIONES CUMPLIDAS</v>
      </c>
      <c r="W84" s="513" t="s">
        <v>93</v>
      </c>
      <c r="X84" s="513">
        <f t="shared" si="27"/>
        <v>3</v>
      </c>
      <c r="Y84" s="862">
        <f>AVERAGE(X84:X87)</f>
        <v>3</v>
      </c>
      <c r="Z84" s="865" t="str">
        <f>IF(Y84=3,$AB$5, IF(OR(X84=0, X85=0, X86=0,X87=0),$AB$7,$AB$6))</f>
        <v xml:space="preserve">ACCION(ES) CUMPLIDA(S) </v>
      </c>
      <c r="AA84" s="865" t="str">
        <f>IF(Z84=$AB$5,$AB$5,IF(Z84=$AB$7,$AB$7,$AB$6))</f>
        <v xml:space="preserve">ACCION(ES) CUMPLIDA(S) </v>
      </c>
      <c r="AB84" s="868" t="s">
        <v>498</v>
      </c>
      <c r="AC84" s="935" t="s">
        <v>100</v>
      </c>
      <c r="AD84" s="868" t="s">
        <v>522</v>
      </c>
      <c r="AE84" s="873" t="str">
        <f>IF(AND(AA84=$AB$5, AC84=$AC$5),$AD$5,IF(AND(AA84=$AB$6, AC84=$AC$7),$AD$7,IF(AND(AA84=$AB$5, AC84=$AC$7),$AD$7,$AD$6)))</f>
        <v>HALLAZGO PENDIENTE DE EVALUACION - Acciones no finalizadas, o acciones que siendo finalizadas, no se puede comprobar la efectividad en el periodo.</v>
      </c>
      <c r="AF84" s="950"/>
    </row>
    <row r="85" spans="1:32" s="27" customFormat="1" ht="48" customHeight="1" x14ac:dyDescent="0.2">
      <c r="A85" s="923"/>
      <c r="B85" s="899"/>
      <c r="C85" s="925"/>
      <c r="D85" s="923"/>
      <c r="E85" s="921"/>
      <c r="F85" s="259" t="str">
        <f>'1115-F02 Informe PM'!G84</f>
        <v xml:space="preserve">Definir y construir el banco de normas técnicas relacionadas con diseños de infraestructura física </v>
      </c>
      <c r="G85" s="217" t="str">
        <f>'1115-F02 Informe PM'!H84</f>
        <v>Oficina de Planeación</v>
      </c>
      <c r="H85" s="217" t="str">
        <f>'1115-F02 Informe PM'!I84</f>
        <v xml:space="preserve">Formato </v>
      </c>
      <c r="I85" s="217">
        <f>'1115-F02 Informe PM'!J84</f>
        <v>1</v>
      </c>
      <c r="J85" s="218">
        <f>'1115-F02 Informe PM'!L84</f>
        <v>44120</v>
      </c>
      <c r="K85" s="531">
        <v>1</v>
      </c>
      <c r="L85" s="1172" t="str">
        <f t="shared" si="26"/>
        <v>Finalizada</v>
      </c>
      <c r="M85" s="1175" t="s">
        <v>526</v>
      </c>
      <c r="N85" s="968" t="s">
        <v>461</v>
      </c>
      <c r="O85" s="968"/>
      <c r="P85" s="968"/>
      <c r="Q85" s="974"/>
      <c r="R85" s="36">
        <f t="shared" si="28"/>
        <v>1</v>
      </c>
      <c r="S85" s="28">
        <f>(R85)/4</f>
        <v>0.25</v>
      </c>
      <c r="T85" s="834"/>
      <c r="U85" s="878"/>
      <c r="V85" s="876"/>
      <c r="W85" s="515" t="s">
        <v>93</v>
      </c>
      <c r="X85" s="515">
        <f t="shared" si="27"/>
        <v>3</v>
      </c>
      <c r="Y85" s="864"/>
      <c r="Z85" s="866"/>
      <c r="AA85" s="866"/>
      <c r="AB85" s="869"/>
      <c r="AC85" s="936"/>
      <c r="AD85" s="869"/>
      <c r="AE85" s="874"/>
      <c r="AF85" s="857"/>
    </row>
    <row r="86" spans="1:32" s="27" customFormat="1" ht="55.5" customHeight="1" x14ac:dyDescent="0.2">
      <c r="A86" s="923"/>
      <c r="B86" s="899"/>
      <c r="C86" s="925"/>
      <c r="D86" s="923"/>
      <c r="E86" s="921"/>
      <c r="F86" s="259" t="str">
        <f>'1115-F02 Informe PM'!G85</f>
        <v xml:space="preserve">Priorizar la adquisición de las normas técncias relacionadas con diseños de infraestructura física </v>
      </c>
      <c r="G86" s="217" t="str">
        <f>'1115-F02 Informe PM'!H85</f>
        <v>Oficina de Planeación</v>
      </c>
      <c r="H86" s="217" t="str">
        <f>'1115-F02 Informe PM'!I85</f>
        <v>Acta de reunión</v>
      </c>
      <c r="I86" s="217">
        <f>'1115-F02 Informe PM'!J85</f>
        <v>2</v>
      </c>
      <c r="J86" s="218">
        <f>'1115-F02 Informe PM'!L85</f>
        <v>44138</v>
      </c>
      <c r="K86" s="531">
        <v>2</v>
      </c>
      <c r="L86" s="1172" t="str">
        <f t="shared" si="26"/>
        <v>Finalizada</v>
      </c>
      <c r="M86" s="1172" t="s">
        <v>526</v>
      </c>
      <c r="N86" s="968" t="s">
        <v>497</v>
      </c>
      <c r="O86" s="968"/>
      <c r="P86" s="968"/>
      <c r="Q86" s="974"/>
      <c r="R86" s="36">
        <f t="shared" si="28"/>
        <v>1</v>
      </c>
      <c r="S86" s="28">
        <f>(R86)/4</f>
        <v>0.25</v>
      </c>
      <c r="T86" s="834"/>
      <c r="U86" s="878"/>
      <c r="V86" s="876"/>
      <c r="W86" s="515" t="s">
        <v>93</v>
      </c>
      <c r="X86" s="515">
        <f t="shared" si="27"/>
        <v>3</v>
      </c>
      <c r="Y86" s="864"/>
      <c r="Z86" s="866"/>
      <c r="AA86" s="866"/>
      <c r="AB86" s="869"/>
      <c r="AC86" s="936"/>
      <c r="AD86" s="869"/>
      <c r="AE86" s="874"/>
      <c r="AF86" s="857"/>
    </row>
    <row r="87" spans="1:32" s="27" customFormat="1" ht="70.5" customHeight="1" thickBot="1" x14ac:dyDescent="0.25">
      <c r="A87" s="884"/>
      <c r="B87" s="888"/>
      <c r="C87" s="886"/>
      <c r="D87" s="884"/>
      <c r="E87" s="882"/>
      <c r="F87" s="260" t="str">
        <f>'1115-F02 Informe PM'!G86</f>
        <v xml:space="preserve">Definir el procedimiento de uso de las normas técnicas relacionadas con diseños de infraestructura física  </v>
      </c>
      <c r="G87" s="215" t="str">
        <f>'1115-F02 Informe PM'!H86</f>
        <v>Oficina de Planeación</v>
      </c>
      <c r="H87" s="215" t="str">
        <f>'1115-F02 Informe PM'!I86</f>
        <v xml:space="preserve">Documento </v>
      </c>
      <c r="I87" s="215">
        <f>'1115-F02 Informe PM'!J86</f>
        <v>1</v>
      </c>
      <c r="J87" s="216">
        <f>'1115-F02 Informe PM'!L86</f>
        <v>44316</v>
      </c>
      <c r="K87" s="368">
        <v>1</v>
      </c>
      <c r="L87" s="1174" t="str">
        <f t="shared" si="26"/>
        <v>Finalizada</v>
      </c>
      <c r="M87" s="1176" t="s">
        <v>419</v>
      </c>
      <c r="N87" s="956" t="s">
        <v>496</v>
      </c>
      <c r="O87" s="957"/>
      <c r="P87" s="957"/>
      <c r="Q87" s="958"/>
      <c r="R87" s="48">
        <f>K87/I87</f>
        <v>1</v>
      </c>
      <c r="S87" s="49">
        <f>(R87)/4</f>
        <v>0.25</v>
      </c>
      <c r="T87" s="847"/>
      <c r="U87" s="879"/>
      <c r="V87" s="890"/>
      <c r="W87" s="522" t="s">
        <v>93</v>
      </c>
      <c r="X87" s="522">
        <f t="shared" si="27"/>
        <v>3</v>
      </c>
      <c r="Y87" s="889"/>
      <c r="Z87" s="933"/>
      <c r="AA87" s="933"/>
      <c r="AB87" s="934"/>
      <c r="AC87" s="937"/>
      <c r="AD87" s="934"/>
      <c r="AE87" s="941"/>
      <c r="AF87" s="951"/>
    </row>
    <row r="88" spans="1:32" s="27" customFormat="1" ht="48" x14ac:dyDescent="0.2">
      <c r="A88" s="985">
        <f>'1115-F02 Informe PM'!A87</f>
        <v>22</v>
      </c>
      <c r="B88" s="901" t="str">
        <f>'1115-F02 Informe PM'!B87</f>
        <v>22-2019</v>
      </c>
      <c r="C88" s="903" t="str">
        <f>'1115-F02 Informe PM'!C87</f>
        <v>HALLAZGO 22 TRÁMITE PQRs 
En la Universidad Tecnológica de Pereira, para la vigencia 2019, se evidenció que no se dio respuesta oportuna a tres peticionarios, así (Ver tabla 26 Informe)</v>
      </c>
      <c r="D88" s="905" t="str">
        <f>'1115-F02 Informe PM'!D87</f>
        <v>Deficiencias de control en el proceso de trámite de las peticiones que son impetradas en la UTP</v>
      </c>
      <c r="E88" s="907" t="str">
        <f>'1115-F02 Informe PM'!F87</f>
        <v>Socialización y sensibilización a los responsables del manejo de las PQRS, sobre los tiempos de respuesta al ciudadano y las implicaciones generadas</v>
      </c>
      <c r="F88" s="258" t="str">
        <f>'1115-F02 Informe PM'!G87</f>
        <v xml:space="preserve">Actualizar el Instructivo para la atención de las PQRS en el numeral "Términos para resolver las PQRS" </v>
      </c>
      <c r="G88" s="213" t="str">
        <f>'1115-F02 Informe PM'!H87</f>
        <v>Vicerrectoría Administrativa y Financiera</v>
      </c>
      <c r="H88" s="213" t="str">
        <f>'1115-F02 Informe PM'!I87</f>
        <v>Documento</v>
      </c>
      <c r="I88" s="213">
        <f>'1115-F02 Informe PM'!J87</f>
        <v>1</v>
      </c>
      <c r="J88" s="214">
        <f>'1115-F02 Informe PM'!L87</f>
        <v>44073</v>
      </c>
      <c r="K88" s="530">
        <v>1</v>
      </c>
      <c r="L88" s="1171" t="str">
        <f t="shared" si="26"/>
        <v>Finalizada</v>
      </c>
      <c r="M88" s="1175" t="s">
        <v>526</v>
      </c>
      <c r="N88" s="959" t="s">
        <v>424</v>
      </c>
      <c r="O88" s="960"/>
      <c r="P88" s="960"/>
      <c r="Q88" s="961"/>
      <c r="R88" s="35">
        <f t="shared" si="28"/>
        <v>1</v>
      </c>
      <c r="S88" s="26">
        <f>(R88)/3</f>
        <v>0.33333333333333331</v>
      </c>
      <c r="T88" s="833">
        <f>(S88+S89+S90)/$V$10</f>
        <v>2.6315789473684209E-2</v>
      </c>
      <c r="U88" s="877" t="str">
        <f>IF(T88=$W$10, "CUMPLIDA", "PENDIENTE")</f>
        <v>CUMPLIDA</v>
      </c>
      <c r="V88" s="860" t="str">
        <f>IF(AND(T88=$W$10, T91=$W$10),$AB$9,$AB$10)</f>
        <v>HALLAZGO PENDIENTE DE CUMPLIMIENTO DE ACCION</v>
      </c>
      <c r="W88" s="513" t="s">
        <v>93</v>
      </c>
      <c r="X88" s="513">
        <f t="shared" si="27"/>
        <v>3</v>
      </c>
      <c r="Y88" s="862">
        <f>AVERAGE(X88:X90)</f>
        <v>3</v>
      </c>
      <c r="Z88" s="865" t="str">
        <f>IF(Y88=3,$AB$5, IF(OR(X88=0, X89=0, X90=0),$AB$7,$AB$6))</f>
        <v xml:space="preserve">ACCION(ES) CUMPLIDA(S) </v>
      </c>
      <c r="AA88" s="865" t="str">
        <f>IF(AND(Z88=$AB$5, Z91=$AB$5),$AB$5,IF(OR(Z88=$AB$7, Z91=$AB$7),$AB$7,$AB$6))</f>
        <v>ACCION(ES) PARCIALMENTE CUMPLIDA(S)</v>
      </c>
      <c r="AB88" s="868" t="s">
        <v>477</v>
      </c>
      <c r="AC88" s="935" t="s">
        <v>100</v>
      </c>
      <c r="AD88" s="868"/>
      <c r="AE88" s="873" t="str">
        <f>IF(AND(AA88=$AB$5, AC88=$AC$5),$AD$5,IF(AND(AA88=$AB$6, AC88=$AC$7),$AD$7,IF(AND(AA88=$AB$5, AC88=$AC$7),$AD$7,$AD$6)))</f>
        <v>HALLAZGO PENDIENTE DE EVALUACION - Acciones no finalizadas, o acciones que siendo finalizadas, no se puede comprobar la efectividad en el periodo.</v>
      </c>
      <c r="AF88" s="950"/>
    </row>
    <row r="89" spans="1:32" s="27" customFormat="1" ht="146.25" customHeight="1" x14ac:dyDescent="0.2">
      <c r="A89" s="986"/>
      <c r="B89" s="902"/>
      <c r="C89" s="904"/>
      <c r="D89" s="906"/>
      <c r="E89" s="908"/>
      <c r="F89" s="259" t="str">
        <f>'1115-F02 Informe PM'!G88</f>
        <v>Programar  reunión con los responsables del manejo del Sistema PQRS sobre la importancia de dar respuesta oportuna al ciudadano</v>
      </c>
      <c r="G89" s="217" t="str">
        <f>'1115-F02 Informe PM'!H88</f>
        <v>Vicerrectoría Administrativa y Financiera</v>
      </c>
      <c r="H89" s="217" t="str">
        <f>'1115-F02 Informe PM'!I88</f>
        <v>Reunión</v>
      </c>
      <c r="I89" s="217">
        <f>'1115-F02 Informe PM'!J88</f>
        <v>1</v>
      </c>
      <c r="J89" s="218">
        <f>'1115-F02 Informe PM'!L88</f>
        <v>44165</v>
      </c>
      <c r="K89" s="531">
        <v>1</v>
      </c>
      <c r="L89" s="1172" t="str">
        <f t="shared" si="26"/>
        <v>Finalizada</v>
      </c>
      <c r="M89" s="1172" t="s">
        <v>419</v>
      </c>
      <c r="N89" s="962" t="s">
        <v>472</v>
      </c>
      <c r="O89" s="963"/>
      <c r="P89" s="963"/>
      <c r="Q89" s="964"/>
      <c r="R89" s="36">
        <f t="shared" si="28"/>
        <v>1</v>
      </c>
      <c r="S89" s="28">
        <f>(R89)/3</f>
        <v>0.33333333333333331</v>
      </c>
      <c r="T89" s="834"/>
      <c r="U89" s="878"/>
      <c r="V89" s="876"/>
      <c r="W89" s="515" t="s">
        <v>93</v>
      </c>
      <c r="X89" s="515">
        <f t="shared" si="27"/>
        <v>3</v>
      </c>
      <c r="Y89" s="864"/>
      <c r="Z89" s="866"/>
      <c r="AA89" s="866"/>
      <c r="AB89" s="869"/>
      <c r="AC89" s="936"/>
      <c r="AD89" s="869"/>
      <c r="AE89" s="874"/>
      <c r="AF89" s="857"/>
    </row>
    <row r="90" spans="1:32" s="27" customFormat="1" ht="83.25" customHeight="1" x14ac:dyDescent="0.2">
      <c r="A90" s="986"/>
      <c r="B90" s="902"/>
      <c r="C90" s="904"/>
      <c r="D90" s="906"/>
      <c r="E90" s="920"/>
      <c r="F90" s="259" t="str">
        <f>'1115-F02 Informe PM'!G89</f>
        <v>Enviar comunicación a las dependencias responsables del manejo de Sistema PQRS sobre la importancia de dar respuesta oportuna al ciudadano</v>
      </c>
      <c r="G90" s="217" t="str">
        <f>'1115-F02 Informe PM'!H89</f>
        <v>Vicerrectoría Administrativa y Financiera</v>
      </c>
      <c r="H90" s="217" t="str">
        <f>'1115-F02 Informe PM'!I89</f>
        <v>Documento</v>
      </c>
      <c r="I90" s="217">
        <f>'1115-F02 Informe PM'!J89</f>
        <v>2</v>
      </c>
      <c r="J90" s="218">
        <f>'1115-F02 Informe PM'!L89</f>
        <v>44165</v>
      </c>
      <c r="K90" s="531">
        <v>2</v>
      </c>
      <c r="L90" s="1172" t="str">
        <f t="shared" si="26"/>
        <v>Finalizada</v>
      </c>
      <c r="M90" s="1175" t="s">
        <v>526</v>
      </c>
      <c r="N90" s="971" t="s">
        <v>425</v>
      </c>
      <c r="O90" s="1132"/>
      <c r="P90" s="1132"/>
      <c r="Q90" s="1133"/>
      <c r="R90" s="36">
        <f t="shared" si="28"/>
        <v>1</v>
      </c>
      <c r="S90" s="28">
        <f>(R90)/3</f>
        <v>0.33333333333333331</v>
      </c>
      <c r="T90" s="834"/>
      <c r="U90" s="878"/>
      <c r="V90" s="876"/>
      <c r="W90" s="515" t="s">
        <v>93</v>
      </c>
      <c r="X90" s="515">
        <f t="shared" si="27"/>
        <v>3</v>
      </c>
      <c r="Y90" s="864"/>
      <c r="Z90" s="866"/>
      <c r="AA90" s="866"/>
      <c r="AB90" s="869"/>
      <c r="AC90" s="936"/>
      <c r="AD90" s="869"/>
      <c r="AE90" s="874"/>
      <c r="AF90" s="857"/>
    </row>
    <row r="91" spans="1:32" s="27" customFormat="1" ht="47.25" customHeight="1" x14ac:dyDescent="0.2">
      <c r="A91" s="986"/>
      <c r="B91" s="902"/>
      <c r="C91" s="904"/>
      <c r="D91" s="906"/>
      <c r="E91" s="940" t="str">
        <f>'1115-F02 Informe PM'!F90</f>
        <v>Implementación del nuevo software de PQRS y Derechos de Petición</v>
      </c>
      <c r="F91" s="259" t="str">
        <f>'1115-F02 Informe PM'!G90</f>
        <v>Realizar reuniones para revisar los ajustes en el nuevo aplicativo de PQRS</v>
      </c>
      <c r="G91" s="217" t="str">
        <f>'1115-F02 Informe PM'!H90</f>
        <v>Vicerrectoría Administrativa y Financiera</v>
      </c>
      <c r="H91" s="217" t="str">
        <f>'1115-F02 Informe PM'!I90</f>
        <v>Reunión</v>
      </c>
      <c r="I91" s="217">
        <f>'1115-F02 Informe PM'!J90</f>
        <v>3</v>
      </c>
      <c r="J91" s="218">
        <f>'1115-F02 Informe PM'!L90</f>
        <v>44134</v>
      </c>
      <c r="K91" s="531">
        <v>3</v>
      </c>
      <c r="L91" s="1172" t="str">
        <f t="shared" si="26"/>
        <v>Finalizada</v>
      </c>
      <c r="M91" s="1175" t="s">
        <v>526</v>
      </c>
      <c r="N91" s="971" t="s">
        <v>471</v>
      </c>
      <c r="O91" s="1132"/>
      <c r="P91" s="1132"/>
      <c r="Q91" s="1133"/>
      <c r="R91" s="36">
        <f t="shared" si="28"/>
        <v>1</v>
      </c>
      <c r="S91" s="28">
        <f t="shared" ref="S91:S98" si="29">(R91)/4</f>
        <v>0.25</v>
      </c>
      <c r="T91" s="834">
        <f>(S91+S92+S93+S94)/$V$10</f>
        <v>1.3157894736842105E-2</v>
      </c>
      <c r="U91" s="942" t="str">
        <f>IF(T91=$W$10, "CUMPLIDA", "PENDIENTE")</f>
        <v>PENDIENTE</v>
      </c>
      <c r="V91" s="876"/>
      <c r="W91" s="515" t="s">
        <v>93</v>
      </c>
      <c r="X91" s="515">
        <f t="shared" si="27"/>
        <v>3</v>
      </c>
      <c r="Y91" s="864">
        <f>AVERAGE(X91:X94)</f>
        <v>2.5</v>
      </c>
      <c r="Z91" s="866" t="str">
        <f>IF(Y91=3,$AB$5, IF(OR(X91=0, X92=0, X93=0,X94=0),$AB$7,$AB$6))</f>
        <v>ACCION(ES) PARCIALMENTE CUMPLIDA(S)</v>
      </c>
      <c r="AA91" s="866"/>
      <c r="AB91" s="869"/>
      <c r="AC91" s="936"/>
      <c r="AD91" s="869"/>
      <c r="AE91" s="874"/>
      <c r="AF91" s="857"/>
    </row>
    <row r="92" spans="1:32" s="27" customFormat="1" ht="106.5" customHeight="1" x14ac:dyDescent="0.2">
      <c r="A92" s="987"/>
      <c r="B92" s="902"/>
      <c r="C92" s="904"/>
      <c r="D92" s="906"/>
      <c r="E92" s="908"/>
      <c r="F92" s="259" t="str">
        <f>'1115-F02 Informe PM'!G91</f>
        <v>Socializar el manejo del nuevo aplicativo PQRS a las dependencias responsables y el uso adecuado del mismo.</v>
      </c>
      <c r="G92" s="217" t="str">
        <f>'1115-F02 Informe PM'!H91</f>
        <v>Vicerrectoría Administrativa y Financiera</v>
      </c>
      <c r="H92" s="217" t="str">
        <f>'1115-F02 Informe PM'!I91</f>
        <v>Reunión</v>
      </c>
      <c r="I92" s="217">
        <f>'1115-F02 Informe PM'!J91</f>
        <v>1</v>
      </c>
      <c r="J92" s="218">
        <f>'1115-F02 Informe PM'!L91</f>
        <v>44285</v>
      </c>
      <c r="K92" s="367">
        <v>1</v>
      </c>
      <c r="L92" s="1172" t="str">
        <f t="shared" si="26"/>
        <v>Finalizada</v>
      </c>
      <c r="M92" s="1175" t="s">
        <v>526</v>
      </c>
      <c r="N92" s="1134" t="s">
        <v>485</v>
      </c>
      <c r="O92" s="1134"/>
      <c r="P92" s="1134"/>
      <c r="Q92" s="1135"/>
      <c r="R92" s="36">
        <f>K92/I92</f>
        <v>1</v>
      </c>
      <c r="S92" s="28">
        <f t="shared" si="29"/>
        <v>0.25</v>
      </c>
      <c r="T92" s="834"/>
      <c r="U92" s="942"/>
      <c r="V92" s="876"/>
      <c r="W92" s="515" t="s">
        <v>93</v>
      </c>
      <c r="X92" s="515">
        <f t="shared" si="27"/>
        <v>3</v>
      </c>
      <c r="Y92" s="864"/>
      <c r="Z92" s="866"/>
      <c r="AA92" s="866"/>
      <c r="AB92" s="869"/>
      <c r="AC92" s="936"/>
      <c r="AD92" s="869"/>
      <c r="AE92" s="874"/>
      <c r="AF92" s="857"/>
    </row>
    <row r="93" spans="1:32" s="27" customFormat="1" ht="36" x14ac:dyDescent="0.2">
      <c r="A93" s="987"/>
      <c r="B93" s="902"/>
      <c r="C93" s="904"/>
      <c r="D93" s="906"/>
      <c r="E93" s="908"/>
      <c r="F93" s="259" t="str">
        <f>'1115-F02 Informe PM'!G92</f>
        <v>Implementar el nuevo aplicativo de PQRS.</v>
      </c>
      <c r="G93" s="217" t="str">
        <f>'1115-F02 Informe PM'!H92</f>
        <v>Vicerrectoría Administrativa y Financiera</v>
      </c>
      <c r="H93" s="217" t="str">
        <f>'1115-F02 Informe PM'!I92</f>
        <v>Aplicativo web</v>
      </c>
      <c r="I93" s="217">
        <f>'1115-F02 Informe PM'!J92</f>
        <v>1</v>
      </c>
      <c r="J93" s="218">
        <f>'1115-F02 Informe PM'!L92</f>
        <v>44346</v>
      </c>
      <c r="K93" s="367">
        <v>0</v>
      </c>
      <c r="L93" s="1172" t="str">
        <f t="shared" si="26"/>
        <v xml:space="preserve">Vigente </v>
      </c>
      <c r="M93" s="1175" t="s">
        <v>526</v>
      </c>
      <c r="N93" s="992" t="s">
        <v>527</v>
      </c>
      <c r="O93" s="992"/>
      <c r="P93" s="992"/>
      <c r="Q93" s="993"/>
      <c r="R93" s="36">
        <f t="shared" si="28"/>
        <v>0</v>
      </c>
      <c r="S93" s="28">
        <f t="shared" si="29"/>
        <v>0</v>
      </c>
      <c r="T93" s="834"/>
      <c r="U93" s="942"/>
      <c r="V93" s="876"/>
      <c r="W93" s="515" t="s">
        <v>94</v>
      </c>
      <c r="X93" s="515">
        <f t="shared" si="27"/>
        <v>2</v>
      </c>
      <c r="Y93" s="864"/>
      <c r="Z93" s="866"/>
      <c r="AA93" s="866"/>
      <c r="AB93" s="869"/>
      <c r="AC93" s="936"/>
      <c r="AD93" s="869"/>
      <c r="AE93" s="874"/>
      <c r="AF93" s="857"/>
    </row>
    <row r="94" spans="1:32" s="27" customFormat="1" ht="36.75" thickBot="1" x14ac:dyDescent="0.25">
      <c r="A94" s="988"/>
      <c r="B94" s="984"/>
      <c r="C94" s="983"/>
      <c r="D94" s="982"/>
      <c r="E94" s="944"/>
      <c r="F94" s="260" t="str">
        <f>'1115-F02 Informe PM'!G93</f>
        <v>Socializar el nuevo aplicativo PQRS a la comunidad en general.</v>
      </c>
      <c r="G94" s="215" t="str">
        <f>'1115-F02 Informe PM'!H93</f>
        <v>Vicerrectoría Administrativa y Financiera</v>
      </c>
      <c r="H94" s="215" t="str">
        <f>'1115-F02 Informe PM'!I93</f>
        <v>Campus Informa y Página web</v>
      </c>
      <c r="I94" s="215">
        <f>'1115-F02 Informe PM'!J93</f>
        <v>2</v>
      </c>
      <c r="J94" s="216">
        <f>'1115-F02 Informe PM'!L93</f>
        <v>44377</v>
      </c>
      <c r="K94" s="368">
        <v>0</v>
      </c>
      <c r="L94" s="1174" t="str">
        <f t="shared" si="26"/>
        <v xml:space="preserve">Vigente </v>
      </c>
      <c r="M94" s="1174" t="s">
        <v>526</v>
      </c>
      <c r="N94" s="1181" t="s">
        <v>527</v>
      </c>
      <c r="O94" s="1181"/>
      <c r="P94" s="1181"/>
      <c r="Q94" s="1182"/>
      <c r="R94" s="48">
        <f>K94/I94</f>
        <v>0</v>
      </c>
      <c r="S94" s="49">
        <f t="shared" si="29"/>
        <v>0</v>
      </c>
      <c r="T94" s="847"/>
      <c r="U94" s="943"/>
      <c r="V94" s="890"/>
      <c r="W94" s="522" t="s">
        <v>94</v>
      </c>
      <c r="X94" s="522">
        <f t="shared" si="27"/>
        <v>2</v>
      </c>
      <c r="Y94" s="889"/>
      <c r="Z94" s="933"/>
      <c r="AA94" s="933"/>
      <c r="AB94" s="934"/>
      <c r="AC94" s="937"/>
      <c r="AD94" s="934"/>
      <c r="AE94" s="941"/>
      <c r="AF94" s="951"/>
    </row>
    <row r="95" spans="1:32" s="27" customFormat="1" ht="77.25" customHeight="1" x14ac:dyDescent="0.2">
      <c r="A95" s="922">
        <f>'1115-F02 Informe PM'!A94</f>
        <v>23</v>
      </c>
      <c r="B95" s="926" t="str">
        <f>'1115-F02 Informe PM'!B94</f>
        <v>07-2018</v>
      </c>
      <c r="C95" s="924" t="str">
        <f>'1115-F02 Informe PM'!C94</f>
        <v xml:space="preserve">HALLAZGO 7.  HORAS CÁTEDRA 
La Universidad Tecnológica de Pereira, en la vigencia 2018, reconoció y pagó horas cátedra a 13 docentes por $4.975.991, cargadas al período en que se encontraba en incapacidad por enfermedad general o en licencia de maternidad o paternidad, detallados en el Anexo 4.
Así mismo, se evidenció que la Universidad no ha implementado los controles efectivos, que permitan evidenciar el cumplimiento de las horas asignadas a los docentes. 
</v>
      </c>
      <c r="D95" s="922" t="str">
        <f>'1115-F02 Informe PM'!D94</f>
        <v xml:space="preserve">Debilidades en los mecanismos de control frente a la certificación de horas efectivamente laboradas, </v>
      </c>
      <c r="E95" s="920" t="str">
        <f>'1115-F02 Informe PM'!F94</f>
        <v>Directriz sobre el cumplimiento de las horas cátedra</v>
      </c>
      <c r="F95" s="261" t="str">
        <f>'1115-F02 Informe PM'!G94</f>
        <v xml:space="preserve">Conformar Comisión del Consejo Académico para estudiar el tema y proponer directriz </v>
      </c>
      <c r="G95" s="248" t="str">
        <f>'1115-F02 Informe PM'!H94</f>
        <v>Vicerrectoria Académica</v>
      </c>
      <c r="H95" s="248" t="str">
        <f>'1115-F02 Informe PM'!I94</f>
        <v>Documento</v>
      </c>
      <c r="I95" s="248">
        <f>'1115-F02 Informe PM'!J94</f>
        <v>1</v>
      </c>
      <c r="J95" s="249">
        <f>'1115-F02 Informe PM'!L94</f>
        <v>43677</v>
      </c>
      <c r="K95" s="534">
        <v>1</v>
      </c>
      <c r="L95" s="1175" t="str">
        <f t="shared" si="26"/>
        <v>Finalizada</v>
      </c>
      <c r="M95" s="1171" t="s">
        <v>526</v>
      </c>
      <c r="N95" s="891" t="s">
        <v>484</v>
      </c>
      <c r="O95" s="891"/>
      <c r="P95" s="891"/>
      <c r="Q95" s="892"/>
      <c r="R95" s="35">
        <f t="shared" ref="R95:R117" si="30">K95/I95</f>
        <v>1</v>
      </c>
      <c r="S95" s="26">
        <f t="shared" si="29"/>
        <v>0.25</v>
      </c>
      <c r="T95" s="833">
        <f>(S95+S96+S97+S98)/$V$10</f>
        <v>2.6315789473684209E-2</v>
      </c>
      <c r="U95" s="877" t="str">
        <f>IF(T95=$W$10, "CUMPLIDA", "PENDIENTE")</f>
        <v>CUMPLIDA</v>
      </c>
      <c r="V95" s="860" t="str">
        <f>IF(AND(T95=$W$10),$AB$9,$AB$10)</f>
        <v>HALLAZGO CON ACCIONES CUMPLIDAS</v>
      </c>
      <c r="W95" s="513" t="s">
        <v>93</v>
      </c>
      <c r="X95" s="513">
        <f t="shared" si="27"/>
        <v>3</v>
      </c>
      <c r="Y95" s="862">
        <f>AVERAGE(X95:X98)</f>
        <v>3</v>
      </c>
      <c r="Z95" s="865" t="str">
        <f>IF(Y95=3,$AB$5, IF(OR(X95=0, X96=0, X97=0,X98=0),$AB$7,$AB$6))</f>
        <v xml:space="preserve">ACCION(ES) CUMPLIDA(S) </v>
      </c>
      <c r="AA95" s="865" t="str">
        <f>IF(Z95=$AB$5,$AB$5,IF(Z95=$AB$7,$AB$7,$AB$6))</f>
        <v xml:space="preserve">ACCION(ES) CUMPLIDA(S) </v>
      </c>
      <c r="AB95" s="868" t="s">
        <v>493</v>
      </c>
      <c r="AC95" s="935" t="s">
        <v>100</v>
      </c>
      <c r="AD95" s="868" t="s">
        <v>523</v>
      </c>
      <c r="AE95" s="873" t="str">
        <f>IF(AND(AA95=$AB$5, AC95=$AC$5),$AD$5,IF(AND(AA95=$AB$6, AC95=$AC$7),$AD$7,IF(AND(AA95=$AB$5, AC95=$AC$7),$AD$7,$AD$6)))</f>
        <v>HALLAZGO PENDIENTE DE EVALUACION - Acciones no finalizadas, o acciones que siendo finalizadas, no se puede comprobar la efectividad en el periodo.</v>
      </c>
      <c r="AF95" s="950"/>
    </row>
    <row r="96" spans="1:32" s="27" customFormat="1" ht="105" customHeight="1" x14ac:dyDescent="0.2">
      <c r="A96" s="923"/>
      <c r="B96" s="899"/>
      <c r="C96" s="925"/>
      <c r="D96" s="923"/>
      <c r="E96" s="921"/>
      <c r="F96" s="217" t="str">
        <f>'1115-F02 Informe PM'!G95</f>
        <v xml:space="preserve">Proponer borrador de directriz, teniendo en cuenta el estatuto docente, y el PEI </v>
      </c>
      <c r="G96" s="217" t="str">
        <f>'1115-F02 Informe PM'!H95</f>
        <v>Vicerrectoria Admi nistrativa y Financiera</v>
      </c>
      <c r="H96" s="217" t="str">
        <f>'1115-F02 Informe PM'!I95</f>
        <v>Documento</v>
      </c>
      <c r="I96" s="217">
        <f>'1115-F02 Informe PM'!J95</f>
        <v>1</v>
      </c>
      <c r="J96" s="218">
        <f>'1115-F02 Informe PM'!L95</f>
        <v>44286</v>
      </c>
      <c r="K96" s="367">
        <v>1</v>
      </c>
      <c r="L96" s="1172" t="str">
        <f t="shared" si="26"/>
        <v>Finalizada</v>
      </c>
      <c r="M96" s="1175" t="s">
        <v>419</v>
      </c>
      <c r="N96" s="927" t="s">
        <v>486</v>
      </c>
      <c r="O96" s="927"/>
      <c r="P96" s="927"/>
      <c r="Q96" s="928"/>
      <c r="R96" s="36">
        <f t="shared" si="30"/>
        <v>1</v>
      </c>
      <c r="S96" s="28">
        <f t="shared" si="29"/>
        <v>0.25</v>
      </c>
      <c r="T96" s="834"/>
      <c r="U96" s="878"/>
      <c r="V96" s="876"/>
      <c r="W96" s="515" t="s">
        <v>93</v>
      </c>
      <c r="X96" s="515">
        <f t="shared" si="27"/>
        <v>3</v>
      </c>
      <c r="Y96" s="864"/>
      <c r="Z96" s="866"/>
      <c r="AA96" s="866"/>
      <c r="AB96" s="869"/>
      <c r="AC96" s="936"/>
      <c r="AD96" s="869"/>
      <c r="AE96" s="874"/>
      <c r="AF96" s="857"/>
    </row>
    <row r="97" spans="1:32" s="27" customFormat="1" ht="81.75" customHeight="1" x14ac:dyDescent="0.2">
      <c r="A97" s="923"/>
      <c r="B97" s="899"/>
      <c r="C97" s="925"/>
      <c r="D97" s="923"/>
      <c r="E97" s="921"/>
      <c r="F97" s="217" t="str">
        <f>'1115-F02 Informe PM'!G96</f>
        <v>Aprobar la Directriz</v>
      </c>
      <c r="G97" s="217" t="str">
        <f>'1115-F02 Informe PM'!H96</f>
        <v>Vicerrectoria Admi nistrativa y Financiera</v>
      </c>
      <c r="H97" s="217" t="str">
        <f>'1115-F02 Informe PM'!I96</f>
        <v>Acta del Consejo Académico</v>
      </c>
      <c r="I97" s="217">
        <f>'1115-F02 Informe PM'!J96</f>
        <v>1</v>
      </c>
      <c r="J97" s="218">
        <f>'1115-F02 Informe PM'!L96</f>
        <v>44286</v>
      </c>
      <c r="K97" s="367">
        <v>1</v>
      </c>
      <c r="L97" s="1172" t="str">
        <f t="shared" si="26"/>
        <v>Finalizada</v>
      </c>
      <c r="M97" s="1172" t="s">
        <v>419</v>
      </c>
      <c r="N97" s="929" t="s">
        <v>487</v>
      </c>
      <c r="O97" s="929"/>
      <c r="P97" s="929"/>
      <c r="Q97" s="930"/>
      <c r="R97" s="36">
        <f t="shared" si="30"/>
        <v>1</v>
      </c>
      <c r="S97" s="28">
        <f t="shared" si="29"/>
        <v>0.25</v>
      </c>
      <c r="T97" s="834"/>
      <c r="U97" s="878"/>
      <c r="V97" s="876"/>
      <c r="W97" s="515" t="s">
        <v>93</v>
      </c>
      <c r="X97" s="515">
        <f t="shared" si="27"/>
        <v>3</v>
      </c>
      <c r="Y97" s="864"/>
      <c r="Z97" s="866"/>
      <c r="AA97" s="866"/>
      <c r="AB97" s="869"/>
      <c r="AC97" s="936"/>
      <c r="AD97" s="869"/>
      <c r="AE97" s="874"/>
      <c r="AF97" s="857"/>
    </row>
    <row r="98" spans="1:32" s="27" customFormat="1" ht="83.25" customHeight="1" thickBot="1" x14ac:dyDescent="0.25">
      <c r="A98" s="884"/>
      <c r="B98" s="888"/>
      <c r="C98" s="886"/>
      <c r="D98" s="884"/>
      <c r="E98" s="882"/>
      <c r="F98" s="215" t="str">
        <f>'1115-F02 Informe PM'!G97</f>
        <v xml:space="preserve">Socializar la directriz </v>
      </c>
      <c r="G98" s="215" t="str">
        <f>'1115-F02 Informe PM'!H97</f>
        <v>Vicerrectoria Admi nistrativa y Financiera</v>
      </c>
      <c r="H98" s="215" t="str">
        <f>'1115-F02 Informe PM'!I97</f>
        <v>Documento</v>
      </c>
      <c r="I98" s="215">
        <f>'1115-F02 Informe PM'!J97</f>
        <v>1</v>
      </c>
      <c r="J98" s="216">
        <f>'1115-F02 Informe PM'!L97</f>
        <v>44347</v>
      </c>
      <c r="K98" s="368">
        <v>1</v>
      </c>
      <c r="L98" s="1174" t="str">
        <f t="shared" si="26"/>
        <v>Finalizada</v>
      </c>
      <c r="M98" s="1174" t="s">
        <v>419</v>
      </c>
      <c r="N98" s="931" t="s">
        <v>488</v>
      </c>
      <c r="O98" s="931"/>
      <c r="P98" s="931"/>
      <c r="Q98" s="932"/>
      <c r="R98" s="48">
        <f t="shared" si="30"/>
        <v>1</v>
      </c>
      <c r="S98" s="49">
        <f t="shared" si="29"/>
        <v>0.25</v>
      </c>
      <c r="T98" s="847"/>
      <c r="U98" s="879"/>
      <c r="V98" s="890"/>
      <c r="W98" s="522" t="s">
        <v>93</v>
      </c>
      <c r="X98" s="522">
        <f t="shared" si="27"/>
        <v>3</v>
      </c>
      <c r="Y98" s="889"/>
      <c r="Z98" s="933"/>
      <c r="AA98" s="933"/>
      <c r="AB98" s="934"/>
      <c r="AC98" s="937"/>
      <c r="AD98" s="934"/>
      <c r="AE98" s="941"/>
      <c r="AF98" s="951"/>
    </row>
    <row r="99" spans="1:32" s="27" customFormat="1" ht="123.75" customHeight="1" x14ac:dyDescent="0.2">
      <c r="A99" s="883">
        <f>'1115-F02 Informe PM'!A98</f>
        <v>24</v>
      </c>
      <c r="B99" s="887" t="str">
        <f>'1115-F02 Informe PM'!B98</f>
        <v>10-2018</v>
      </c>
      <c r="C99" s="885" t="str">
        <f>'1115-F02 Informe PM'!C98</f>
        <v>HALLAZGO 10.  BIENES DEVOLUTIVOS 
La Universidad Tecnológica de Pereira a diciembre 31 de 2018, no dio baja, ni reconoció deterioro de 2 activos por $137.066.446, los cuales se encuentran fuera de uso desde años anteriores, evidenciado mediante inspección física (Tabla 13 Informe de Auditoria sobre vigencia 2018)</v>
      </c>
      <c r="D99" s="883" t="str">
        <f>'1115-F02 Informe PM'!D98</f>
        <v>Debilidades en el control de inventarios y de compromiso por parte de los funcionarios de las distintas dependencias sobre el manejo de su cartera personal</v>
      </c>
      <c r="E99" s="881" t="str">
        <f>'1115-F02 Informe PM'!F98</f>
        <v>Implementacion de un control para la revision de los bienes por parte de los cuentadantes a través del aplicativo</v>
      </c>
      <c r="F99" s="258" t="str">
        <f>'1115-F02 Informe PM'!G98</f>
        <v>Solicitar a GTISI la implementacion de un control de verficacion semestral para los cuentadantes de los bienes a través del aplicativo de Inventario (casilla de verificacion y campo de observaciones)</v>
      </c>
      <c r="G99" s="213" t="str">
        <f>'1115-F02 Informe PM'!H98</f>
        <v>Almacen General</v>
      </c>
      <c r="H99" s="213" t="str">
        <f>'1115-F02 Informe PM'!I98</f>
        <v>Documento</v>
      </c>
      <c r="I99" s="213">
        <f>'1115-F02 Informe PM'!J98</f>
        <v>1</v>
      </c>
      <c r="J99" s="214">
        <f>'1115-F02 Informe PM'!L98</f>
        <v>43676</v>
      </c>
      <c r="K99" s="530">
        <v>1</v>
      </c>
      <c r="L99" s="1171" t="str">
        <f t="shared" si="26"/>
        <v>Finalizada</v>
      </c>
      <c r="M99" s="1175" t="s">
        <v>526</v>
      </c>
      <c r="N99" s="891" t="s">
        <v>421</v>
      </c>
      <c r="O99" s="891"/>
      <c r="P99" s="891"/>
      <c r="Q99" s="892"/>
      <c r="R99" s="35">
        <f t="shared" si="30"/>
        <v>1</v>
      </c>
      <c r="S99" s="26">
        <f t="shared" ref="S99:S104" si="31">(R99)/3</f>
        <v>0.33333333333333331</v>
      </c>
      <c r="T99" s="833">
        <f>(S99+S100+S101)/$V$10</f>
        <v>2.6315789473684209E-2</v>
      </c>
      <c r="U99" s="877" t="str">
        <f>IF(T99=$W$10, "CUMPLIDA", "PENDIENTE")</f>
        <v>CUMPLIDA</v>
      </c>
      <c r="V99" s="860" t="str">
        <f>IF(AND(T99=$W$10),$AB$9,$AB$10)</f>
        <v>HALLAZGO CON ACCIONES CUMPLIDAS</v>
      </c>
      <c r="W99" s="513" t="s">
        <v>93</v>
      </c>
      <c r="X99" s="513">
        <f t="shared" si="27"/>
        <v>3</v>
      </c>
      <c r="Y99" s="862">
        <f>AVERAGE(X99:X101)</f>
        <v>3</v>
      </c>
      <c r="Z99" s="865" t="str">
        <f>IF(Y99=3,$AB$5, IF(OR(X99=0, X100=0, X101=0),$AB$7,$AB$6))</f>
        <v xml:space="preserve">ACCION(ES) CUMPLIDA(S) </v>
      </c>
      <c r="AA99" s="865" t="str">
        <f>IF(Z99=$AB$5,$AB$5,IF(Z99=$AB$7,$AB$7,$AB$6))</f>
        <v xml:space="preserve">ACCION(ES) CUMPLIDA(S) </v>
      </c>
      <c r="AB99" s="868" t="s">
        <v>489</v>
      </c>
      <c r="AC99" s="935" t="s">
        <v>98</v>
      </c>
      <c r="AD99" s="868" t="s">
        <v>491</v>
      </c>
      <c r="AE99" s="873" t="str">
        <f>IF(AND(AA99=$AB$5, AC99=$AC$5),$AD$5,IF(AND(AA99=$AB$6, AC99=$AC$7),$AD$7,IF(AND(AA99=$AB$5, AC99=$AC$7),$AD$7,$AD$6)))</f>
        <v>HALLAZGO SUBSANADO  – La evidencia demuestra que se corrigió el hallazgo y por lo tanto se espera que no se repita.</v>
      </c>
      <c r="AF99" s="856" t="s">
        <v>492</v>
      </c>
    </row>
    <row r="100" spans="1:32" s="27" customFormat="1" ht="66.75" customHeight="1" x14ac:dyDescent="0.2">
      <c r="A100" s="923"/>
      <c r="B100" s="899"/>
      <c r="C100" s="925"/>
      <c r="D100" s="923"/>
      <c r="E100" s="921"/>
      <c r="F100" s="259" t="str">
        <f>'1115-F02 Informe PM'!G99</f>
        <v xml:space="preserve"> Desarrollar un modulo para validar elementos de cuentadantes</v>
      </c>
      <c r="G100" s="217" t="str">
        <f>'1115-F02 Informe PM'!H99</f>
        <v>Gestión de Tecnologías informáticas y sistemas de información</v>
      </c>
      <c r="H100" s="217" t="str">
        <f>'1115-F02 Informe PM'!I99</f>
        <v>Ajuste aplicativo</v>
      </c>
      <c r="I100" s="217">
        <f>'1115-F02 Informe PM'!J99</f>
        <v>1</v>
      </c>
      <c r="J100" s="218">
        <f>'1115-F02 Informe PM'!L99</f>
        <v>44104</v>
      </c>
      <c r="K100" s="531">
        <v>1</v>
      </c>
      <c r="L100" s="1172" t="str">
        <f t="shared" si="26"/>
        <v>Finalizada</v>
      </c>
      <c r="M100" s="1172" t="s">
        <v>526</v>
      </c>
      <c r="N100" s="893" t="s">
        <v>437</v>
      </c>
      <c r="O100" s="893"/>
      <c r="P100" s="893"/>
      <c r="Q100" s="894"/>
      <c r="R100" s="36">
        <f t="shared" si="30"/>
        <v>1</v>
      </c>
      <c r="S100" s="28">
        <f t="shared" si="31"/>
        <v>0.33333333333333331</v>
      </c>
      <c r="T100" s="834"/>
      <c r="U100" s="878"/>
      <c r="V100" s="876"/>
      <c r="W100" s="515" t="s">
        <v>93</v>
      </c>
      <c r="X100" s="515">
        <f t="shared" si="27"/>
        <v>3</v>
      </c>
      <c r="Y100" s="864"/>
      <c r="Z100" s="866"/>
      <c r="AA100" s="866"/>
      <c r="AB100" s="869"/>
      <c r="AC100" s="936"/>
      <c r="AD100" s="869"/>
      <c r="AE100" s="874"/>
      <c r="AF100" s="857"/>
    </row>
    <row r="101" spans="1:32" s="27" customFormat="1" ht="74.25" customHeight="1" thickBot="1" x14ac:dyDescent="0.25">
      <c r="A101" s="939"/>
      <c r="B101" s="900"/>
      <c r="C101" s="938"/>
      <c r="D101" s="939"/>
      <c r="E101" s="940"/>
      <c r="F101" s="272" t="str">
        <f>'1115-F02 Informe PM'!G100</f>
        <v xml:space="preserve">Socializar a los cuentadantes del ajuste solicitando revision periodico de bienes corregido </v>
      </c>
      <c r="G101" s="250" t="str">
        <f>'1115-F02 Informe PM'!H100</f>
        <v>Almacen General</v>
      </c>
      <c r="H101" s="250" t="str">
        <f>'1115-F02 Informe PM'!I100</f>
        <v>Documento</v>
      </c>
      <c r="I101" s="250">
        <f>'1115-F02 Informe PM'!J100</f>
        <v>3</v>
      </c>
      <c r="J101" s="251">
        <f>'1115-F02 Informe PM'!L100</f>
        <v>44252</v>
      </c>
      <c r="K101" s="370">
        <v>3</v>
      </c>
      <c r="L101" s="1173" t="str">
        <f t="shared" si="26"/>
        <v>Finalizada</v>
      </c>
      <c r="M101" s="1176" t="s">
        <v>419</v>
      </c>
      <c r="N101" s="895" t="s">
        <v>490</v>
      </c>
      <c r="O101" s="895"/>
      <c r="P101" s="895"/>
      <c r="Q101" s="896"/>
      <c r="R101" s="48">
        <f t="shared" si="30"/>
        <v>1</v>
      </c>
      <c r="S101" s="49">
        <f t="shared" si="31"/>
        <v>0.33333333333333331</v>
      </c>
      <c r="T101" s="847"/>
      <c r="U101" s="879"/>
      <c r="V101" s="890"/>
      <c r="W101" s="522" t="s">
        <v>93</v>
      </c>
      <c r="X101" s="522">
        <f t="shared" si="27"/>
        <v>3</v>
      </c>
      <c r="Y101" s="889"/>
      <c r="Z101" s="933"/>
      <c r="AA101" s="933"/>
      <c r="AB101" s="870"/>
      <c r="AC101" s="937"/>
      <c r="AD101" s="870"/>
      <c r="AE101" s="941"/>
      <c r="AF101" s="858"/>
    </row>
    <row r="102" spans="1:32" s="27" customFormat="1" ht="125.25" customHeight="1" x14ac:dyDescent="0.2">
      <c r="A102" s="905">
        <f>'1115-F02 Informe PM'!A101</f>
        <v>25</v>
      </c>
      <c r="B102" s="901" t="str">
        <f>'1115-F02 Informe PM'!B101</f>
        <v>11-2018</v>
      </c>
      <c r="C102" s="903" t="str">
        <f>'1115-F02 Informe PM'!C101</f>
        <v xml:space="preserve">HALLAZGO 11.  PLACA BIENES MUEBLES
En la  Universidad Tecnológica de Pereira, el equipo auditor realizó inspección física a los bienes muebles, evidenciando 5 bienes sin placa, incumpliendo las normas antes citadas (Ver Tabla 14 Informe de Auditoria sobre vigencia 2018)
</v>
      </c>
      <c r="D102" s="905" t="str">
        <f>'1115-F02 Informe PM'!D101</f>
        <v>Debilidades en el control de inventarios y de compromiso por parte de los funcionarios de las distintas dependencias sobre el manejo de su cartera personal</v>
      </c>
      <c r="E102" s="907" t="str">
        <f>'1115-F02 Informe PM'!F101</f>
        <v>Implementacion de un control para la revision de los bienes por parte de los cuentadantes a través del aplicativo</v>
      </c>
      <c r="F102" s="258" t="str">
        <f>'1115-F02 Informe PM'!G101</f>
        <v>Solicitar a GTISI la implementacion de un control de verficacion semestral para los cuentadantes de los bienes a través del aplicativo de Inventario (casilla de verificacion y campo de observaciones)</v>
      </c>
      <c r="G102" s="213" t="str">
        <f>'1115-F02 Informe PM'!H101</f>
        <v>Almacen General</v>
      </c>
      <c r="H102" s="213" t="str">
        <f>'1115-F02 Informe PM'!I101</f>
        <v>Documento</v>
      </c>
      <c r="I102" s="213">
        <f>'1115-F02 Informe PM'!J101</f>
        <v>1</v>
      </c>
      <c r="J102" s="214">
        <f>'1115-F02 Informe PM'!L101</f>
        <v>43676</v>
      </c>
      <c r="K102" s="530">
        <v>1</v>
      </c>
      <c r="L102" s="1171" t="str">
        <f t="shared" si="26"/>
        <v>Finalizada</v>
      </c>
      <c r="M102" s="1175" t="s">
        <v>526</v>
      </c>
      <c r="N102" s="891" t="s">
        <v>422</v>
      </c>
      <c r="O102" s="891"/>
      <c r="P102" s="891"/>
      <c r="Q102" s="892"/>
      <c r="R102" s="35">
        <f t="shared" si="30"/>
        <v>1</v>
      </c>
      <c r="S102" s="26">
        <f t="shared" si="31"/>
        <v>0.33333333333333331</v>
      </c>
      <c r="T102" s="833">
        <f>(S102+S103+S104)/$V$10</f>
        <v>2.6315789473684209E-2</v>
      </c>
      <c r="U102" s="877" t="str">
        <f>IF(T102=$W$10, "CUMPLIDA", "PENDIENTE")</f>
        <v>CUMPLIDA</v>
      </c>
      <c r="V102" s="860" t="str">
        <f>IF(AND(T102=$W$10),$AB$9,$AB$10)</f>
        <v>HALLAZGO CON ACCIONES CUMPLIDAS</v>
      </c>
      <c r="W102" s="513" t="s">
        <v>93</v>
      </c>
      <c r="X102" s="513">
        <f t="shared" si="27"/>
        <v>3</v>
      </c>
      <c r="Y102" s="862">
        <f>AVERAGE(X102:X104)</f>
        <v>3</v>
      </c>
      <c r="Z102" s="865" t="str">
        <f>IF(Y102=3,$AB$5, IF(OR(X102=0, X103=0, X104=0),$AB$7,$AB$6))</f>
        <v xml:space="preserve">ACCION(ES) CUMPLIDA(S) </v>
      </c>
      <c r="AA102" s="865" t="str">
        <f>IF(Z102=$AB$5,$AB$5,IF(Z102=$AB$7,$AB$7,$AB$6))</f>
        <v xml:space="preserve">ACCION(ES) CUMPLIDA(S) </v>
      </c>
      <c r="AB102" s="868" t="s">
        <v>489</v>
      </c>
      <c r="AC102" s="935" t="s">
        <v>98</v>
      </c>
      <c r="AD102" s="868" t="s">
        <v>491</v>
      </c>
      <c r="AE102" s="873" t="str">
        <f>IF(AND(AA102=$AB$5, AC102=$AC$5),$AD$5,IF(AND(AA102=$AB$6, AC102=$AC$7),$AD$7,IF(AND(AA102=$AB$5, AC102=$AC$7),$AD$7,$AD$6)))</f>
        <v>HALLAZGO SUBSANADO  – La evidencia demuestra que se corrigió el hallazgo y por lo tanto se espera que no se repita.</v>
      </c>
      <c r="AF102" s="856" t="s">
        <v>492</v>
      </c>
    </row>
    <row r="103" spans="1:32" s="27" customFormat="1" ht="60.75" customHeight="1" x14ac:dyDescent="0.2">
      <c r="A103" s="906"/>
      <c r="B103" s="902"/>
      <c r="C103" s="904"/>
      <c r="D103" s="906"/>
      <c r="E103" s="908"/>
      <c r="F103" s="259" t="str">
        <f>'1115-F02 Informe PM'!G102</f>
        <v xml:space="preserve"> Desarrollar un modulo para validar elementos de cuentadantes</v>
      </c>
      <c r="G103" s="217" t="str">
        <f>'1115-F02 Informe PM'!H102</f>
        <v>Gestión de Tecnologías informáticas y sistemas de información</v>
      </c>
      <c r="H103" s="217" t="str">
        <f>'1115-F02 Informe PM'!I102</f>
        <v>Ajuste aplicativo</v>
      </c>
      <c r="I103" s="217">
        <f>'1115-F02 Informe PM'!J102</f>
        <v>1</v>
      </c>
      <c r="J103" s="218">
        <f>'1115-F02 Informe PM'!L102</f>
        <v>44104</v>
      </c>
      <c r="K103" s="531">
        <v>1</v>
      </c>
      <c r="L103" s="1172" t="str">
        <f t="shared" si="26"/>
        <v>Finalizada</v>
      </c>
      <c r="M103" s="1172" t="s">
        <v>526</v>
      </c>
      <c r="N103" s="893" t="s">
        <v>437</v>
      </c>
      <c r="O103" s="893"/>
      <c r="P103" s="893"/>
      <c r="Q103" s="894"/>
      <c r="R103" s="36">
        <f t="shared" si="30"/>
        <v>1</v>
      </c>
      <c r="S103" s="28">
        <f t="shared" si="31"/>
        <v>0.33333333333333331</v>
      </c>
      <c r="T103" s="834"/>
      <c r="U103" s="878"/>
      <c r="V103" s="876"/>
      <c r="W103" s="515" t="s">
        <v>93</v>
      </c>
      <c r="X103" s="515">
        <f t="shared" si="27"/>
        <v>3</v>
      </c>
      <c r="Y103" s="864"/>
      <c r="Z103" s="866"/>
      <c r="AA103" s="866"/>
      <c r="AB103" s="869"/>
      <c r="AC103" s="936"/>
      <c r="AD103" s="869"/>
      <c r="AE103" s="874"/>
      <c r="AF103" s="857"/>
    </row>
    <row r="104" spans="1:32" s="27" customFormat="1" ht="58.5" customHeight="1" thickBot="1" x14ac:dyDescent="0.25">
      <c r="A104" s="906"/>
      <c r="B104" s="902"/>
      <c r="C104" s="904"/>
      <c r="D104" s="906"/>
      <c r="E104" s="908"/>
      <c r="F104" s="272" t="str">
        <f>'1115-F02 Informe PM'!G103</f>
        <v xml:space="preserve">Socializar a los cuentadantes del ajuste solicitando revision periodico de bienes corregido </v>
      </c>
      <c r="G104" s="250" t="str">
        <f>'1115-F02 Informe PM'!H103</f>
        <v>Almacen General</v>
      </c>
      <c r="H104" s="250" t="str">
        <f>'1115-F02 Informe PM'!I103</f>
        <v>Documento</v>
      </c>
      <c r="I104" s="250">
        <f>'1115-F02 Informe PM'!J103</f>
        <v>3</v>
      </c>
      <c r="J104" s="251">
        <f>'1115-F02 Informe PM'!L103</f>
        <v>44252</v>
      </c>
      <c r="K104" s="370">
        <v>3</v>
      </c>
      <c r="L104" s="1173" t="str">
        <f t="shared" si="26"/>
        <v>Finalizada</v>
      </c>
      <c r="M104" s="1174" t="s">
        <v>419</v>
      </c>
      <c r="N104" s="895" t="s">
        <v>490</v>
      </c>
      <c r="O104" s="895"/>
      <c r="P104" s="895"/>
      <c r="Q104" s="896"/>
      <c r="R104" s="372">
        <f>K104/I104</f>
        <v>1</v>
      </c>
      <c r="S104" s="443">
        <f t="shared" si="31"/>
        <v>0.33333333333333331</v>
      </c>
      <c r="T104" s="859"/>
      <c r="U104" s="880"/>
      <c r="V104" s="861"/>
      <c r="W104" s="514" t="s">
        <v>93</v>
      </c>
      <c r="X104" s="514">
        <f t="shared" si="27"/>
        <v>3</v>
      </c>
      <c r="Y104" s="863"/>
      <c r="Z104" s="867"/>
      <c r="AA104" s="867"/>
      <c r="AB104" s="870"/>
      <c r="AC104" s="1123"/>
      <c r="AD104" s="870"/>
      <c r="AE104" s="875"/>
      <c r="AF104" s="858"/>
    </row>
    <row r="105" spans="1:32" s="27" customFormat="1" ht="84" customHeight="1" x14ac:dyDescent="0.2">
      <c r="A105" s="883">
        <f>'1115-F02 Informe PM'!A104</f>
        <v>26</v>
      </c>
      <c r="B105" s="887" t="str">
        <f>'1115-F02 Informe PM'!B104</f>
        <v>12-2018</v>
      </c>
      <c r="C105" s="885" t="str">
        <f>'1115-F02 Informe PM'!C104</f>
        <v xml:space="preserve">HALLAZGO 12.  NOTAS A LA INFORMACIÓN CONTABLE 
La UTP a 31 de diciembre del 2018, omitió revelar en las notas explicativas a la información contable en:
Propiedad, planta y equipo:
• Conciliación entre los valores en libros al principio y al final del periodo contable, que muestre por separado lo siguiente: adquisiciones, adiciones realizadas, disposiciones, retiros, sustitución de componentes, inspecciones generales, reclasificaciones a otro tipo de activos, depreciación y otros cambios.
• El estado de avance de las propiedades, planta y equipo en proceso de construcción y la fecha estimada de terminación.
Cuentas por cobrar:
• La información de bienes que se hayan retirado a título de comodato indicando la entidad de la cual se reciben o a la cual se entregan, el monto, la descripción, la cantidad y la duración del contrato.
• Las condiciones de la cuenta por cobrar, como: plazo, tasa de interés, vencimiento y restricciones, que las cuentas por cobrar le impongan a la entidad. 
• Revelación de un análisis de la antigüedad de las cuentas por cobrar que estén en mora, pero no deterioradas, al final del periodo. 
</v>
      </c>
      <c r="D105" s="883" t="str">
        <f>'1115-F02 Informe PM'!D104</f>
        <v>Debilidades en el control interno contable</v>
      </c>
      <c r="E105" s="881" t="str">
        <f>'1115-F02 Informe PM'!F104</f>
        <v xml:space="preserve"> Implementación de un procedimiento para la solicitud de la información que conforma las Notas a la Información Contable.</v>
      </c>
      <c r="F105" s="258" t="str">
        <f>'1115-F02 Informe PM'!G104</f>
        <v>Establecer el Procedimiento de requerida acuerdo a los parametros establecidos en la norma de la CGN,  para conformación de las Notas de la Información contable.</v>
      </c>
      <c r="G105" s="213" t="str">
        <f>'1115-F02 Informe PM'!H104</f>
        <v>Gestion Contable</v>
      </c>
      <c r="H105" s="213" t="str">
        <f>'1115-F02 Informe PM'!I104</f>
        <v>Documento</v>
      </c>
      <c r="I105" s="213">
        <f>'1115-F02 Informe PM'!J104</f>
        <v>1</v>
      </c>
      <c r="J105" s="214">
        <f>'1115-F02 Informe PM'!L104</f>
        <v>44104</v>
      </c>
      <c r="K105" s="530">
        <v>1</v>
      </c>
      <c r="L105" s="1171" t="str">
        <f t="shared" ref="L105:L115" si="32">IF(K105=I105,$AA$9,IF(AND(K105&lt;I105,J105&lt;$D$11),$AA$10,$AA$11))</f>
        <v>Finalizada</v>
      </c>
      <c r="M105" s="1175" t="s">
        <v>526</v>
      </c>
      <c r="N105" s="1139" t="s">
        <v>433</v>
      </c>
      <c r="O105" s="1139"/>
      <c r="P105" s="1139"/>
      <c r="Q105" s="1140"/>
      <c r="R105" s="53">
        <f t="shared" ref="R105:R115" si="33">K105/I105</f>
        <v>1</v>
      </c>
      <c r="S105" s="30">
        <f t="shared" ref="S105:S113" si="34">(R105)/3</f>
        <v>0.33333333333333331</v>
      </c>
      <c r="T105" s="833">
        <f>(S105+S106+S107)/$V$10</f>
        <v>2.6315789473684209E-2</v>
      </c>
      <c r="U105" s="877" t="str">
        <f>IF(T105=$W$10, "CUMPLIDA", "PENDIENTE")</f>
        <v>CUMPLIDA</v>
      </c>
      <c r="V105" s="860" t="str">
        <f>IF(AND(T105=$W$10),$AB$9,$AB$10)</f>
        <v>HALLAZGO CON ACCIONES CUMPLIDAS</v>
      </c>
      <c r="W105" s="513" t="s">
        <v>93</v>
      </c>
      <c r="X105" s="513">
        <f t="shared" ref="X105:X115" si="35">IF(W105="",0,IF(W105=$AA$5,3,IF(W105=$AA$7,0,2)))</f>
        <v>3</v>
      </c>
      <c r="Y105" s="862">
        <f>AVERAGE(X105:X107)</f>
        <v>3</v>
      </c>
      <c r="Z105" s="865" t="str">
        <f>IF(Y105=3,$AB$5, IF(OR(X105=0, X106=0, X107=0),$AB$7,$AB$6))</f>
        <v xml:space="preserve">ACCION(ES) CUMPLIDA(S) </v>
      </c>
      <c r="AA105" s="865" t="str">
        <f>IF(Z105=$AB$5,$AB$5,IF(Z105=$AB$7,$AB$7,$AB$6))</f>
        <v xml:space="preserve">ACCION(ES) CUMPLIDA(S) </v>
      </c>
      <c r="AB105" s="868" t="s">
        <v>480</v>
      </c>
      <c r="AC105" s="935" t="s">
        <v>100</v>
      </c>
      <c r="AD105" s="1124" t="s">
        <v>523</v>
      </c>
      <c r="AE105" s="873" t="str">
        <f>IF(AND(AA105=$AB$5, AC105=$AC$5),$AD$5,IF(AND(AA105=$AB$6, AC105=$AC$7),$AD$7,IF(AND(AA105=$AB$5, AC105=$AC$7),$AD$7,$AD$6)))</f>
        <v>HALLAZGO PENDIENTE DE EVALUACION - Acciones no finalizadas, o acciones que siendo finalizadas, no se puede comprobar la efectividad en el periodo.</v>
      </c>
      <c r="AF105" s="1142"/>
    </row>
    <row r="106" spans="1:32" s="27" customFormat="1" ht="80.25" customHeight="1" x14ac:dyDescent="0.2">
      <c r="A106" s="923"/>
      <c r="B106" s="899"/>
      <c r="C106" s="925"/>
      <c r="D106" s="923"/>
      <c r="E106" s="921"/>
      <c r="F106" s="259" t="str">
        <f>'1115-F02 Informe PM'!G105</f>
        <v>Adoptar el procedimiento requerido para la solicitud de la información entregada por las dependencias para la conformación de las Notas de la Información contable.</v>
      </c>
      <c r="G106" s="217" t="str">
        <f>'1115-F02 Informe PM'!H105</f>
        <v>Gestion Contable</v>
      </c>
      <c r="H106" s="217" t="str">
        <f>'1115-F02 Informe PM'!I105</f>
        <v>Documento</v>
      </c>
      <c r="I106" s="217">
        <f>'1115-F02 Informe PM'!J105</f>
        <v>1</v>
      </c>
      <c r="J106" s="218">
        <f>'1115-F02 Informe PM'!L105</f>
        <v>44134</v>
      </c>
      <c r="K106" s="531">
        <v>1</v>
      </c>
      <c r="L106" s="1172" t="str">
        <f t="shared" si="32"/>
        <v>Finalizada</v>
      </c>
      <c r="M106" s="1175" t="s">
        <v>526</v>
      </c>
      <c r="N106" s="971" t="s">
        <v>473</v>
      </c>
      <c r="O106" s="971"/>
      <c r="P106" s="971"/>
      <c r="Q106" s="1141"/>
      <c r="R106" s="48">
        <f t="shared" si="33"/>
        <v>1</v>
      </c>
      <c r="S106" s="49">
        <f t="shared" si="34"/>
        <v>0.33333333333333331</v>
      </c>
      <c r="T106" s="834"/>
      <c r="U106" s="878"/>
      <c r="V106" s="876"/>
      <c r="W106" s="515" t="s">
        <v>93</v>
      </c>
      <c r="X106" s="515">
        <f t="shared" si="35"/>
        <v>3</v>
      </c>
      <c r="Y106" s="864"/>
      <c r="Z106" s="866"/>
      <c r="AA106" s="866"/>
      <c r="AB106" s="869"/>
      <c r="AC106" s="936"/>
      <c r="AD106" s="1125"/>
      <c r="AE106" s="874"/>
      <c r="AF106" s="1143"/>
    </row>
    <row r="107" spans="1:32" s="27" customFormat="1" ht="81" customHeight="1" thickBot="1" x14ac:dyDescent="0.25">
      <c r="A107" s="884"/>
      <c r="B107" s="888"/>
      <c r="C107" s="886"/>
      <c r="D107" s="884"/>
      <c r="E107" s="882"/>
      <c r="F107" s="260" t="str">
        <f>'1115-F02 Informe PM'!G106</f>
        <v>Socializar el procedimiento requerido para la solicitud de la información entregada por las dependencias para la conformación de las Notas de la Información contable.</v>
      </c>
      <c r="G107" s="215" t="str">
        <f>'1115-F02 Informe PM'!H106</f>
        <v>Gestion Contable</v>
      </c>
      <c r="H107" s="215" t="str">
        <f>'1115-F02 Informe PM'!I106</f>
        <v>Documento</v>
      </c>
      <c r="I107" s="215">
        <f>'1115-F02 Informe PM'!J106</f>
        <v>1</v>
      </c>
      <c r="J107" s="216">
        <f>'1115-F02 Informe PM'!L106</f>
        <v>44165</v>
      </c>
      <c r="K107" s="533">
        <v>1</v>
      </c>
      <c r="L107" s="1174" t="str">
        <f t="shared" si="32"/>
        <v>Finalizada</v>
      </c>
      <c r="M107" s="1174" t="s">
        <v>526</v>
      </c>
      <c r="N107" s="1129" t="s">
        <v>474</v>
      </c>
      <c r="O107" s="1130"/>
      <c r="P107" s="1130"/>
      <c r="Q107" s="1131"/>
      <c r="R107" s="372">
        <f t="shared" si="33"/>
        <v>1</v>
      </c>
      <c r="S107" s="443">
        <f t="shared" si="34"/>
        <v>0.33333333333333331</v>
      </c>
      <c r="T107" s="859"/>
      <c r="U107" s="880"/>
      <c r="V107" s="861"/>
      <c r="W107" s="529" t="s">
        <v>93</v>
      </c>
      <c r="X107" s="514">
        <f t="shared" si="35"/>
        <v>3</v>
      </c>
      <c r="Y107" s="863"/>
      <c r="Z107" s="867"/>
      <c r="AA107" s="867"/>
      <c r="AB107" s="934"/>
      <c r="AC107" s="1123"/>
      <c r="AD107" s="1126"/>
      <c r="AE107" s="875"/>
      <c r="AF107" s="1144"/>
    </row>
    <row r="108" spans="1:32" s="27" customFormat="1" ht="54.75" customHeight="1" x14ac:dyDescent="0.2">
      <c r="A108" s="986">
        <f>'1115-F02 Informe PM'!A107</f>
        <v>27</v>
      </c>
      <c r="B108" s="902" t="str">
        <f>'1115-F02 Informe PM'!B107</f>
        <v>13-2018</v>
      </c>
      <c r="C108" s="904" t="str">
        <f>'1115-F02 Informe PM'!C107</f>
        <v>HALLAZGO 13.  CONCILIACIÓN CARTERA
La Universidad Tecnológica de Pereira al cierre de la vigencia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v>
      </c>
      <c r="D108" s="906" t="str">
        <f>'1115-F02 Informe PM'!D107</f>
        <v>Debilidades en la conciliación entre los módulos de contabilidad y cartera y de control interno contable</v>
      </c>
      <c r="E108" s="908" t="str">
        <f>'1115-F02 Informe PM'!F107</f>
        <v>Revisión del Procedimiento  y el Manual de Politicas Contables establecidos para la Cartera y Conciliación de la misma.</v>
      </c>
      <c r="F108" s="497" t="str">
        <f>'1115-F02 Informe PM'!G107</f>
        <v>Analizar los procedimientos y Manual de Politicas establecidos para la Cartera y la conciliación de la misma</v>
      </c>
      <c r="G108" s="498" t="str">
        <f>'1115-F02 Informe PM'!H107</f>
        <v>Gestion Contable</v>
      </c>
      <c r="H108" s="498" t="str">
        <f>'1115-F02 Informe PM'!I107</f>
        <v>Documento</v>
      </c>
      <c r="I108" s="498">
        <f>'1115-F02 Informe PM'!J107</f>
        <v>1</v>
      </c>
      <c r="J108" s="499">
        <f>'1115-F02 Informe PM'!L107</f>
        <v>44255</v>
      </c>
      <c r="K108" s="500">
        <v>1</v>
      </c>
      <c r="L108" s="1177" t="str">
        <f t="shared" si="32"/>
        <v>Finalizada</v>
      </c>
      <c r="M108" s="1175" t="s">
        <v>526</v>
      </c>
      <c r="N108" s="1127" t="s">
        <v>506</v>
      </c>
      <c r="O108" s="1080"/>
      <c r="P108" s="1080"/>
      <c r="Q108" s="1081"/>
      <c r="R108" s="53">
        <f t="shared" si="33"/>
        <v>1</v>
      </c>
      <c r="S108" s="30">
        <f t="shared" si="34"/>
        <v>0.33333333333333331</v>
      </c>
      <c r="T108" s="833">
        <f>(S108+S109+S110)/$V$10</f>
        <v>1.7543859649122806E-2</v>
      </c>
      <c r="U108" s="949" t="str">
        <f>IF(T108=$W$10, "CUMPLIDA", "PENDIENTE")</f>
        <v>PENDIENTE</v>
      </c>
      <c r="V108" s="860" t="str">
        <f>IF(AND(T108=$W$10),$AB$9,$AB$10)</f>
        <v>HALLAZGO PENDIENTE DE CUMPLIMIENTO DE ACCION</v>
      </c>
      <c r="W108" s="513" t="s">
        <v>93</v>
      </c>
      <c r="X108" s="513">
        <f t="shared" si="35"/>
        <v>3</v>
      </c>
      <c r="Y108" s="862">
        <f>AVERAGE(X108:X110)</f>
        <v>2</v>
      </c>
      <c r="Z108" s="865" t="str">
        <f>IF(Y108=3,$AB$5,IF(Y108=0,$AB$7,$AB$6))</f>
        <v>ACCION(ES) PARCIALMENTE CUMPLIDA(S)</v>
      </c>
      <c r="AA108" s="865" t="str">
        <f>IF(Z108=$AB$5,$AB$5,IF(Z108=$AB$7,$AB$7,$AB$6))</f>
        <v>ACCION(ES) PARCIALMENTE CUMPLIDA(S)</v>
      </c>
      <c r="AB108" s="1124" t="s">
        <v>477</v>
      </c>
      <c r="AC108" s="935" t="s">
        <v>100</v>
      </c>
      <c r="AD108" s="1124" t="s">
        <v>476</v>
      </c>
      <c r="AE108" s="873" t="str">
        <f>IF(AND(AA108=$AB$5, AC108=$AC$5),$AD$5,IF(AND(AA108=$AB$6, AC108=$AC$7),$AD$7,IF(AND(AA108=$AB$5, AC108=$AC$7),$AD$7,$AD$6)))</f>
        <v>HALLAZGO PENDIENTE DE EVALUACION - Acciones no finalizadas, o acciones que siendo finalizadas, no se puede comprobar la efectividad en el periodo.</v>
      </c>
      <c r="AF108" s="1142"/>
    </row>
    <row r="109" spans="1:32" s="27" customFormat="1" ht="54.75" customHeight="1" x14ac:dyDescent="0.2">
      <c r="A109" s="986"/>
      <c r="B109" s="902"/>
      <c r="C109" s="904"/>
      <c r="D109" s="906"/>
      <c r="E109" s="908"/>
      <c r="F109" s="272" t="str">
        <f>'1115-F02 Informe PM'!G108</f>
        <v>Documentar y adoptar las actualizaciones en los procedimientos y Manual de Políticas Contable de la Cartera.</v>
      </c>
      <c r="G109" s="250" t="str">
        <f>'1115-F02 Informe PM'!H108</f>
        <v>Gestion Contable</v>
      </c>
      <c r="H109" s="250" t="str">
        <f>'1115-F02 Informe PM'!I108</f>
        <v>Documento</v>
      </c>
      <c r="I109" s="250">
        <f>'1115-F02 Informe PM'!J108</f>
        <v>1</v>
      </c>
      <c r="J109" s="251">
        <f>'1115-F02 Informe PM'!L108</f>
        <v>44316</v>
      </c>
      <c r="K109" s="370">
        <v>1</v>
      </c>
      <c r="L109" s="1173" t="str">
        <f t="shared" si="32"/>
        <v>Finalizada</v>
      </c>
      <c r="M109" s="1175" t="s">
        <v>526</v>
      </c>
      <c r="N109" s="952" t="s">
        <v>500</v>
      </c>
      <c r="O109" s="977"/>
      <c r="P109" s="977"/>
      <c r="Q109" s="978"/>
      <c r="R109" s="48">
        <f t="shared" si="33"/>
        <v>1</v>
      </c>
      <c r="S109" s="49">
        <f t="shared" si="34"/>
        <v>0.33333333333333331</v>
      </c>
      <c r="T109" s="834"/>
      <c r="U109" s="942"/>
      <c r="V109" s="876"/>
      <c r="W109" s="515" t="s">
        <v>93</v>
      </c>
      <c r="X109" s="515">
        <f t="shared" si="35"/>
        <v>3</v>
      </c>
      <c r="Y109" s="864"/>
      <c r="Z109" s="866"/>
      <c r="AA109" s="866"/>
      <c r="AB109" s="1125"/>
      <c r="AC109" s="936"/>
      <c r="AD109" s="1125"/>
      <c r="AE109" s="874"/>
      <c r="AF109" s="1143"/>
    </row>
    <row r="110" spans="1:32" s="27" customFormat="1" ht="56.25" customHeight="1" thickBot="1" x14ac:dyDescent="0.25">
      <c r="A110" s="1138"/>
      <c r="B110" s="984"/>
      <c r="C110" s="983"/>
      <c r="D110" s="982"/>
      <c r="E110" s="944"/>
      <c r="F110" s="260" t="str">
        <f>'1115-F02 Informe PM'!G109</f>
        <v>Socializar Procedimiento establecido con las dependencias involucradas en el proceso de cartera</v>
      </c>
      <c r="G110" s="215" t="str">
        <f>'1115-F02 Informe PM'!H109</f>
        <v>Gestion Contable</v>
      </c>
      <c r="H110" s="215" t="str">
        <f>'1115-F02 Informe PM'!I109</f>
        <v>Documento</v>
      </c>
      <c r="I110" s="215">
        <f>'1115-F02 Informe PM'!J109</f>
        <v>1</v>
      </c>
      <c r="J110" s="216">
        <f>'1115-F02 Informe PM'!L109</f>
        <v>44347</v>
      </c>
      <c r="K110" s="368">
        <v>0</v>
      </c>
      <c r="L110" s="1174" t="str">
        <f t="shared" si="32"/>
        <v xml:space="preserve">Vigente </v>
      </c>
      <c r="M110" s="1174" t="s">
        <v>526</v>
      </c>
      <c r="N110" s="957" t="s">
        <v>527</v>
      </c>
      <c r="O110" s="957"/>
      <c r="P110" s="957"/>
      <c r="Q110" s="958"/>
      <c r="R110" s="372">
        <f t="shared" si="33"/>
        <v>0</v>
      </c>
      <c r="S110" s="443">
        <f t="shared" si="34"/>
        <v>0</v>
      </c>
      <c r="T110" s="859"/>
      <c r="U110" s="1145"/>
      <c r="V110" s="861"/>
      <c r="W110" s="529"/>
      <c r="X110" s="514">
        <f t="shared" si="35"/>
        <v>0</v>
      </c>
      <c r="Y110" s="863"/>
      <c r="Z110" s="933"/>
      <c r="AA110" s="933"/>
      <c r="AB110" s="1126"/>
      <c r="AC110" s="1123"/>
      <c r="AD110" s="1126"/>
      <c r="AE110" s="875"/>
      <c r="AF110" s="1144"/>
    </row>
    <row r="111" spans="1:32" s="27" customFormat="1" ht="45.75" customHeight="1" x14ac:dyDescent="0.2">
      <c r="A111" s="985">
        <f>'1115-F02 Informe PM'!A110</f>
        <v>28</v>
      </c>
      <c r="B111" s="901" t="str">
        <f>'1115-F02 Informe PM'!B110</f>
        <v>14-2018</v>
      </c>
      <c r="C111" s="903" t="str">
        <f>'1115-F02 Informe PM'!C110</f>
        <v>HALLAZGO 14.  BENEFICIOS POSEMPLEO
La UTP no presentó en forma adecuada en el Estado de Situación Financiera a diciembre 31 de 2018, los beneficios posempleo por el valor neto equivalente a $47.805.809.733, resultante de descontar al pasivo por Beneficios Posempleo – Pensiones por $74.696.052.955, el Plan de Activos para beneficios Posempleo que al cierre de la vigencia ascendió a $26.890.243.222</v>
      </c>
      <c r="D111" s="905" t="str">
        <f>'1115-F02 Informe PM'!D110</f>
        <v>Debilidades de control interno contable</v>
      </c>
      <c r="E111" s="907" t="str">
        <f>'1115-F02 Informe PM'!F110</f>
        <v>Revisión del Procedimiento  establecido para la presentación de los Estados Financieros</v>
      </c>
      <c r="F111" s="293" t="str">
        <f>'1115-F02 Informe PM'!G110</f>
        <v>Actualizar los procedimientos para la presentación de los Estados Financieros.</v>
      </c>
      <c r="G111" s="294" t="str">
        <f>'1115-F02 Informe PM'!H110</f>
        <v>Gestion Contable</v>
      </c>
      <c r="H111" s="294" t="str">
        <f>'1115-F02 Informe PM'!I110</f>
        <v>Documento</v>
      </c>
      <c r="I111" s="294">
        <f>'1115-F02 Informe PM'!J110</f>
        <v>1</v>
      </c>
      <c r="J111" s="295">
        <f>'1115-F02 Informe PM'!L110</f>
        <v>44285</v>
      </c>
      <c r="K111" s="371">
        <v>1</v>
      </c>
      <c r="L111" s="1178" t="str">
        <f t="shared" si="32"/>
        <v>Finalizada</v>
      </c>
      <c r="M111" s="1175" t="s">
        <v>526</v>
      </c>
      <c r="N111" s="1079" t="s">
        <v>507</v>
      </c>
      <c r="O111" s="1079"/>
      <c r="P111" s="1079"/>
      <c r="Q111" s="1128"/>
      <c r="R111" s="53">
        <f t="shared" si="33"/>
        <v>1</v>
      </c>
      <c r="S111" s="30">
        <f t="shared" si="34"/>
        <v>0.33333333333333331</v>
      </c>
      <c r="T111" s="833">
        <f>(S111+S112+S113)/$V$10</f>
        <v>1.7543859649122806E-2</v>
      </c>
      <c r="U111" s="949" t="str">
        <f>IF(T111=$W$10, "CUMPLIDA", "PENDIENTE")</f>
        <v>PENDIENTE</v>
      </c>
      <c r="V111" s="860" t="str">
        <f>IF(AND(T111=$W$10),$AB$9,$AB$10)</f>
        <v>HALLAZGO PENDIENTE DE CUMPLIMIENTO DE ACCION</v>
      </c>
      <c r="W111" s="513" t="s">
        <v>93</v>
      </c>
      <c r="X111" s="513">
        <f t="shared" si="35"/>
        <v>3</v>
      </c>
      <c r="Y111" s="862">
        <f>AVERAGE(X111:X113)</f>
        <v>2</v>
      </c>
      <c r="Z111" s="865" t="str">
        <f>IF(Y111=3,$AB$5,IF(Y111=0,$AB$7,$AB$6))</f>
        <v>ACCION(ES) PARCIALMENTE CUMPLIDA(S)</v>
      </c>
      <c r="AA111" s="865" t="str">
        <f>IF(Z111=$AB$5,$AB$5,IF(Z111=$AB$7,$AB$7,$AB$6))</f>
        <v>ACCION(ES) PARCIALMENTE CUMPLIDA(S)</v>
      </c>
      <c r="AB111" s="1124" t="s">
        <v>477</v>
      </c>
      <c r="AC111" s="1159" t="s">
        <v>100</v>
      </c>
      <c r="AD111" s="1124" t="s">
        <v>476</v>
      </c>
      <c r="AE111" s="1146" t="str">
        <f>IF(AND(AA111=$AB$5, AC111=$AC$5),$AD$5,IF(AND(AA111=$AB$6, AC111=$AC$7),$AD$7,IF(AND(AA111=$AB$5, AC111=$AC$7),$AD$7,$AD$6)))</f>
        <v>HALLAZGO PENDIENTE DE EVALUACION - Acciones no finalizadas, o acciones que siendo finalizadas, no se puede comprobar la efectividad en el periodo.</v>
      </c>
      <c r="AF111" s="1142"/>
    </row>
    <row r="112" spans="1:32" s="27" customFormat="1" ht="43.5" customHeight="1" x14ac:dyDescent="0.2">
      <c r="A112" s="986"/>
      <c r="B112" s="902"/>
      <c r="C112" s="904"/>
      <c r="D112" s="906"/>
      <c r="E112" s="908"/>
      <c r="F112" s="272" t="str">
        <f>'1115-F02 Informe PM'!G111</f>
        <v xml:space="preserve">Documentar y adoptar las actualizaciones de los Estados Financieros </v>
      </c>
      <c r="G112" s="250" t="str">
        <f>'1115-F02 Informe PM'!H111</f>
        <v>Gestion Contable</v>
      </c>
      <c r="H112" s="250" t="str">
        <f>'1115-F02 Informe PM'!I111</f>
        <v>Documento</v>
      </c>
      <c r="I112" s="250">
        <f>'1115-F02 Informe PM'!J111</f>
        <v>1</v>
      </c>
      <c r="J112" s="251">
        <f>'1115-F02 Informe PM'!L111</f>
        <v>44316</v>
      </c>
      <c r="K112" s="370">
        <v>1</v>
      </c>
      <c r="L112" s="1173" t="str">
        <f t="shared" si="32"/>
        <v>Finalizada</v>
      </c>
      <c r="M112" s="1175" t="s">
        <v>526</v>
      </c>
      <c r="N112" s="952" t="s">
        <v>507</v>
      </c>
      <c r="O112" s="952"/>
      <c r="P112" s="952"/>
      <c r="Q112" s="953"/>
      <c r="R112" s="48">
        <f t="shared" si="33"/>
        <v>1</v>
      </c>
      <c r="S112" s="49">
        <f t="shared" si="34"/>
        <v>0.33333333333333331</v>
      </c>
      <c r="T112" s="834"/>
      <c r="U112" s="942"/>
      <c r="V112" s="876"/>
      <c r="W112" s="515" t="s">
        <v>93</v>
      </c>
      <c r="X112" s="515">
        <f t="shared" si="35"/>
        <v>3</v>
      </c>
      <c r="Y112" s="864"/>
      <c r="Z112" s="866"/>
      <c r="AA112" s="866"/>
      <c r="AB112" s="1125"/>
      <c r="AC112" s="1163"/>
      <c r="AD112" s="1125"/>
      <c r="AE112" s="1147"/>
      <c r="AF112" s="1143"/>
    </row>
    <row r="113" spans="1:32" s="27" customFormat="1" ht="68.25" customHeight="1" thickBot="1" x14ac:dyDescent="0.25">
      <c r="A113" s="1138"/>
      <c r="B113" s="984"/>
      <c r="C113" s="983"/>
      <c r="D113" s="982"/>
      <c r="E113" s="944"/>
      <c r="F113" s="260" t="str">
        <f>'1115-F02 Informe PM'!G112</f>
        <v>Socializar Procedimiento establecido para la presentación de los Estados Financieros con el Grupo de Trabajo</v>
      </c>
      <c r="G113" s="215" t="str">
        <f>'1115-F02 Informe PM'!H112</f>
        <v>Gestion Contable</v>
      </c>
      <c r="H113" s="215" t="str">
        <f>'1115-F02 Informe PM'!I112</f>
        <v>Documento</v>
      </c>
      <c r="I113" s="215">
        <f>'1115-F02 Informe PM'!J112</f>
        <v>1</v>
      </c>
      <c r="J113" s="216">
        <f>'1115-F02 Informe PM'!L112</f>
        <v>44347</v>
      </c>
      <c r="K113" s="368">
        <v>0</v>
      </c>
      <c r="L113" s="1174" t="str">
        <f t="shared" si="32"/>
        <v xml:space="preserve">Vigente </v>
      </c>
      <c r="M113" s="1174" t="s">
        <v>526</v>
      </c>
      <c r="N113" s="957" t="s">
        <v>527</v>
      </c>
      <c r="O113" s="957"/>
      <c r="P113" s="957"/>
      <c r="Q113" s="958"/>
      <c r="R113" s="372">
        <f t="shared" si="33"/>
        <v>0</v>
      </c>
      <c r="S113" s="443">
        <f t="shared" si="34"/>
        <v>0</v>
      </c>
      <c r="T113" s="859"/>
      <c r="U113" s="1145"/>
      <c r="V113" s="861"/>
      <c r="W113" s="529"/>
      <c r="X113" s="514">
        <f t="shared" si="35"/>
        <v>0</v>
      </c>
      <c r="Y113" s="863"/>
      <c r="Z113" s="933"/>
      <c r="AA113" s="933"/>
      <c r="AB113" s="1126"/>
      <c r="AC113" s="1160"/>
      <c r="AD113" s="1126"/>
      <c r="AE113" s="1148"/>
      <c r="AF113" s="1144"/>
    </row>
    <row r="114" spans="1:32" s="27" customFormat="1" ht="144.75" customHeight="1" x14ac:dyDescent="0.2">
      <c r="A114" s="905">
        <f>'1115-F02 Informe PM'!A113</f>
        <v>29</v>
      </c>
      <c r="B114" s="901" t="str">
        <f>'1115-F02 Informe PM'!B113</f>
        <v>15-2018</v>
      </c>
      <c r="C114" s="903" t="str">
        <f>'1115-F02 Informe PM'!C113</f>
        <v>HALLAZGO 15.  LIQUIDACIÓN MATRÍCULA 
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v>
      </c>
      <c r="D114" s="905" t="str">
        <f>'1115-F02 Informe PM'!D113</f>
        <v>Falta de seguimiento y monitoreo al proceso de matrícula financiera y de control al aplicativo de Matrícula-Programación y Software Financiero</v>
      </c>
      <c r="E114" s="907" t="str">
        <f>'1115-F02 Informe PM'!F113</f>
        <v>Actualización de perfiles de usuarios del software de liquidación de matrícula</v>
      </c>
      <c r="F114" s="293" t="str">
        <f>'1115-F02 Informe PM'!G113</f>
        <v xml:space="preserve">Remitir memorando a Gestión de Tecnologías Informáticas y Sistemas de Información </v>
      </c>
      <c r="G114" s="294" t="str">
        <f>'1115-F02 Informe PM'!H113</f>
        <v xml:space="preserve">Gestión Financiera </v>
      </c>
      <c r="H114" s="294" t="str">
        <f>'1115-F02 Informe PM'!I113</f>
        <v>Documento</v>
      </c>
      <c r="I114" s="294">
        <f>'1115-F02 Informe PM'!J113</f>
        <v>1</v>
      </c>
      <c r="J114" s="295">
        <f>'1115-F02 Informe PM'!L113</f>
        <v>43640</v>
      </c>
      <c r="K114" s="535">
        <v>1</v>
      </c>
      <c r="L114" s="1178" t="str">
        <f t="shared" si="32"/>
        <v>Finalizada</v>
      </c>
      <c r="M114" s="1175" t="s">
        <v>526</v>
      </c>
      <c r="N114" s="959" t="s">
        <v>483</v>
      </c>
      <c r="O114" s="960"/>
      <c r="P114" s="960"/>
      <c r="Q114" s="961"/>
      <c r="R114" s="47">
        <f>K114/I114</f>
        <v>1</v>
      </c>
      <c r="S114" s="46">
        <f>(R114)/2</f>
        <v>0.5</v>
      </c>
      <c r="T114" s="1149">
        <f>(S114+S115)/$V$10</f>
        <v>2.6315789473684209E-2</v>
      </c>
      <c r="U114" s="1151" t="str">
        <f>IF(T114=$W$10, "CUMPLIDA", "PENDIENTE")</f>
        <v>CUMPLIDA</v>
      </c>
      <c r="V114" s="1153" t="str">
        <f>IF(AND(T114=$W$10),$AB$9,$AB$10)</f>
        <v>HALLAZGO CON ACCIONES CUMPLIDAS</v>
      </c>
      <c r="W114" s="513" t="s">
        <v>93</v>
      </c>
      <c r="X114" s="513">
        <f t="shared" si="35"/>
        <v>3</v>
      </c>
      <c r="Y114" s="1155">
        <f>AVERAGE(X114:X115)</f>
        <v>3</v>
      </c>
      <c r="Z114" s="1157" t="str">
        <f>IF(Y114=3,$AB$5, IF(OR(X114=0, X115=0),$AB$7,$AB$6))</f>
        <v xml:space="preserve">ACCION(ES) CUMPLIDA(S) </v>
      </c>
      <c r="AA114" s="1157" t="str">
        <f>IF(Z114=$AB$5,$AB$5,IF(Z114=$AB$7,$AB$7,$AB$6))</f>
        <v xml:space="preserve">ACCION(ES) CUMPLIDA(S) </v>
      </c>
      <c r="AB114" s="1124" t="s">
        <v>447</v>
      </c>
      <c r="AC114" s="1159" t="s">
        <v>99</v>
      </c>
      <c r="AD114" s="1161" t="s">
        <v>448</v>
      </c>
      <c r="AE114" s="1146" t="str">
        <f>IF(AND(AA114=$AB$5, AC114=$AC$5),$AD$5,IF(AND(AA114=$AB$6, AC114=$AC$7),$AD$7,IF(AND(AA114=$AB$5, AC114=$AC$7),$AD$7,$AD$6)))</f>
        <v>HALLAZGO NO SUBSANADO / SUBSANADO PARCIALMENTE - La evidencia demuestra que el hallazgo puede repetirse, ya sea porque la corrección o la accion no se implemento (NO SUBSANADA)  o porque la acción debe completarse con una nueva acción (SUBSANADA PARCIAL)</v>
      </c>
      <c r="AF114" s="1142" t="s">
        <v>449</v>
      </c>
    </row>
    <row r="115" spans="1:32" s="27" customFormat="1" ht="111" customHeight="1" thickBot="1" x14ac:dyDescent="0.25">
      <c r="A115" s="982"/>
      <c r="B115" s="984"/>
      <c r="C115" s="983"/>
      <c r="D115" s="982"/>
      <c r="E115" s="944"/>
      <c r="F115" s="260" t="str">
        <f>'1115-F02 Informe PM'!G114</f>
        <v>Definir el proceso de administración de usuarios y autorizaciones para el aplicativo de liquidacion de matrícula, además de realizar los ajustes respectivos dicho aplicativo</v>
      </c>
      <c r="G115" s="215" t="str">
        <f>'1115-F02 Informe PM'!H114</f>
        <v>Gestión de Tecnologías informáticas y sistemas de información</v>
      </c>
      <c r="H115" s="215" t="str">
        <f>'1115-F02 Informe PM'!I114</f>
        <v>Ajuste a Sistemas de Información</v>
      </c>
      <c r="I115" s="215">
        <f>'1115-F02 Informe PM'!J114</f>
        <v>1</v>
      </c>
      <c r="J115" s="216">
        <f>'1115-F02 Informe PM'!L114</f>
        <v>44012</v>
      </c>
      <c r="K115" s="533">
        <v>1</v>
      </c>
      <c r="L115" s="1174" t="str">
        <f t="shared" si="32"/>
        <v>Finalizada</v>
      </c>
      <c r="M115" s="1174" t="s">
        <v>526</v>
      </c>
      <c r="N115" s="1129" t="s">
        <v>423</v>
      </c>
      <c r="O115" s="1136"/>
      <c r="P115" s="1136"/>
      <c r="Q115" s="1137"/>
      <c r="R115" s="48">
        <f t="shared" si="33"/>
        <v>1</v>
      </c>
      <c r="S115" s="49">
        <f>(R115)/2</f>
        <v>0.5</v>
      </c>
      <c r="T115" s="1150"/>
      <c r="U115" s="1152"/>
      <c r="V115" s="1154"/>
      <c r="W115" s="292" t="s">
        <v>93</v>
      </c>
      <c r="X115" s="529">
        <f t="shared" si="35"/>
        <v>3</v>
      </c>
      <c r="Y115" s="1156"/>
      <c r="Z115" s="1158"/>
      <c r="AA115" s="1158"/>
      <c r="AB115" s="1126"/>
      <c r="AC115" s="1160"/>
      <c r="AD115" s="1162"/>
      <c r="AE115" s="1148"/>
      <c r="AF115" s="1144"/>
    </row>
    <row r="116" spans="1:32" s="27" customFormat="1" ht="64.5" customHeight="1" x14ac:dyDescent="0.2">
      <c r="A116" s="883">
        <v>30</v>
      </c>
      <c r="B116" s="887" t="str">
        <f>'1115-F02 Informe PM'!B115</f>
        <v>16-2018</v>
      </c>
      <c r="C116" s="885" t="str">
        <f>'1115-F02 Informe PM'!C115</f>
        <v xml:space="preserve">HALLAZGO 16. PERSONAS EN CONDICIÓN DE DISCAPACIDAD
En la Universidad Tecnológica de Pereira, se evidenció que el Plan de Desarrollo Institucional – PDI - UTP 2018, no cuenta con una política de discapacidad que garantice el acceso real y efectivo de dicha población y sus familias a todos los derechos que se ofrecen al resto de ciudadanos y que contenga un enfoque diferencial, que permita garantizar que las personas en condición de discapacidad se beneficien en igualdad de condiciones como las demás personas.
</v>
      </c>
      <c r="D116" s="883" t="str">
        <f>'1115-F02 Informe PM'!D115</f>
        <v xml:space="preserve">Deficiencias de controles en la planeación del PDI de la Universidad, </v>
      </c>
      <c r="E116" s="881" t="str">
        <f>'1115-F02 Informe PM'!F115</f>
        <v xml:space="preserve">Formulación  de la  Politica de discapacidad UTP </v>
      </c>
      <c r="F116" s="258" t="str">
        <f>'1115-F02 Informe PM'!G115</f>
        <v>Adoptar la politica de Discapacidad mediante acto administrativo</v>
      </c>
      <c r="G116" s="213" t="str">
        <f>'1115-F02 Informe PM'!H115</f>
        <v>Vicerrectoría de Responsabilidad Social y Bienestar Universitario</v>
      </c>
      <c r="H116" s="213" t="str">
        <f>'1115-F02 Informe PM'!I115</f>
        <v>Acto administrativo</v>
      </c>
      <c r="I116" s="213">
        <f>'1115-F02 Informe PM'!J115</f>
        <v>1</v>
      </c>
      <c r="J116" s="214">
        <f>'1115-F02 Informe PM'!L115</f>
        <v>44042</v>
      </c>
      <c r="K116" s="530">
        <v>1</v>
      </c>
      <c r="L116" s="1171" t="str">
        <f t="shared" si="26"/>
        <v>Finalizada</v>
      </c>
      <c r="M116" s="1175" t="s">
        <v>526</v>
      </c>
      <c r="N116" s="891" t="s">
        <v>435</v>
      </c>
      <c r="O116" s="891"/>
      <c r="P116" s="891"/>
      <c r="Q116" s="892"/>
      <c r="R116" s="35">
        <f t="shared" si="30"/>
        <v>1</v>
      </c>
      <c r="S116" s="26">
        <f>(R116)/2</f>
        <v>0.5</v>
      </c>
      <c r="T116" s="833">
        <f>(S116+S117)/$V$10</f>
        <v>2.6315789473684209E-2</v>
      </c>
      <c r="U116" s="877" t="str">
        <f>IF(T116=$W$10, "CUMPLIDA", "PENDIENTE")</f>
        <v>CUMPLIDA</v>
      </c>
      <c r="V116" s="860" t="str">
        <f>IF(AND(T116=$W$10),$AB$9,$AB$10)</f>
        <v>HALLAZGO CON ACCIONES CUMPLIDAS</v>
      </c>
      <c r="W116" s="513" t="s">
        <v>93</v>
      </c>
      <c r="X116" s="513">
        <f t="shared" si="27"/>
        <v>3</v>
      </c>
      <c r="Y116" s="862">
        <f>AVERAGE(X116:X117)</f>
        <v>3</v>
      </c>
      <c r="Z116" s="865" t="str">
        <f>IF(Y116=3,$AB$5, IF(OR(X116=0, X117=0),$AB$7,$AB$6))</f>
        <v xml:space="preserve">ACCION(ES) CUMPLIDA(S) </v>
      </c>
      <c r="AA116" s="865" t="str">
        <f>IF(Z116=$AB$5,$AB$5,IF(Z116=$AB$7,$AB$7,$AB$6))</f>
        <v xml:space="preserve">ACCION(ES) CUMPLIDA(S) </v>
      </c>
      <c r="AB116" s="868" t="s">
        <v>440</v>
      </c>
      <c r="AC116" s="935" t="s">
        <v>98</v>
      </c>
      <c r="AD116" s="868" t="s">
        <v>446</v>
      </c>
      <c r="AE116" s="873" t="str">
        <f>IF(AND(AA116=$AB$5, AC116=$AC$5),$AD$5,IF(AND(AA116=$AB$6, AC116=$AC$7),$AD$7,IF(AND(AA116=$AB$5, AC116=$AC$7),$AD$7,$AD$6)))</f>
        <v>HALLAZGO SUBSANADO  – La evidencia demuestra que se corrigió el hallazgo y por lo tanto se espera que no se repita.</v>
      </c>
      <c r="AF116" s="871" t="s">
        <v>450</v>
      </c>
    </row>
    <row r="117" spans="1:32" s="27" customFormat="1" ht="70.5" customHeight="1" thickBot="1" x14ac:dyDescent="0.25">
      <c r="A117" s="884"/>
      <c r="B117" s="888"/>
      <c r="C117" s="886"/>
      <c r="D117" s="884"/>
      <c r="E117" s="882"/>
      <c r="F117" s="260" t="str">
        <f>'1115-F02 Informe PM'!G116</f>
        <v>Divulgar la politica</v>
      </c>
      <c r="G117" s="215" t="str">
        <f>'1115-F02 Informe PM'!H116</f>
        <v>Vicerrectoría de Responsabilidad Social y Bienestar Universitario</v>
      </c>
      <c r="H117" s="215" t="str">
        <f>'1115-F02 Informe PM'!I116</f>
        <v>Documentos</v>
      </c>
      <c r="I117" s="215">
        <f>'1115-F02 Informe PM'!J116</f>
        <v>3</v>
      </c>
      <c r="J117" s="216">
        <f>'1115-F02 Informe PM'!L116</f>
        <v>44134</v>
      </c>
      <c r="K117" s="533">
        <v>3</v>
      </c>
      <c r="L117" s="1174" t="str">
        <f t="shared" si="26"/>
        <v>Finalizada</v>
      </c>
      <c r="M117" s="1174" t="s">
        <v>526</v>
      </c>
      <c r="N117" s="897" t="s">
        <v>436</v>
      </c>
      <c r="O117" s="897"/>
      <c r="P117" s="897"/>
      <c r="Q117" s="898"/>
      <c r="R117" s="372">
        <f t="shared" si="30"/>
        <v>1</v>
      </c>
      <c r="S117" s="443">
        <f>(R117)/2</f>
        <v>0.5</v>
      </c>
      <c r="T117" s="859"/>
      <c r="U117" s="880"/>
      <c r="V117" s="861"/>
      <c r="W117" s="514" t="s">
        <v>93</v>
      </c>
      <c r="X117" s="514">
        <f t="shared" si="27"/>
        <v>3</v>
      </c>
      <c r="Y117" s="863"/>
      <c r="Z117" s="867"/>
      <c r="AA117" s="867"/>
      <c r="AB117" s="870"/>
      <c r="AC117" s="1123"/>
      <c r="AD117" s="870"/>
      <c r="AE117" s="875"/>
      <c r="AF117" s="872"/>
    </row>
    <row r="118" spans="1:32" ht="16.5" thickBot="1" x14ac:dyDescent="0.25">
      <c r="Q118" s="71"/>
      <c r="R118" s="287">
        <f>AVERAGE(R15:R117)</f>
        <v>0.68932038834951459</v>
      </c>
      <c r="S118" s="288">
        <f>SUM(S15:S117)</f>
        <v>28.083333333333311</v>
      </c>
      <c r="T118" s="289">
        <f>SUM(T15:T117)</f>
        <v>0.73903508771929816</v>
      </c>
      <c r="U118" s="290">
        <f>COUNTIF(U15:U117,"CUMPLIDA")</f>
        <v>20</v>
      </c>
      <c r="V118" s="291">
        <f>COUNTIF(V15:V117, $AB$9)</f>
        <v>13</v>
      </c>
    </row>
    <row r="119" spans="1:32" ht="16.5" hidden="1" thickBot="1" x14ac:dyDescent="0.25">
      <c r="Q119" s="71"/>
      <c r="R119" s="1100" t="s">
        <v>112</v>
      </c>
      <c r="S119" s="1101"/>
      <c r="T119" s="1101"/>
      <c r="U119" s="1101"/>
      <c r="V119" s="546">
        <f>$T$136</f>
        <v>0.10344827586206896</v>
      </c>
    </row>
    <row r="120" spans="1:32" ht="18" hidden="1" customHeight="1" thickBot="1" x14ac:dyDescent="0.25">
      <c r="F120" s="853" t="s">
        <v>370</v>
      </c>
      <c r="G120" s="854"/>
      <c r="H120" s="855"/>
      <c r="I120" s="226"/>
      <c r="J120" s="226"/>
      <c r="K120" s="31"/>
      <c r="Q120" s="71"/>
      <c r="R120" s="1106" t="s">
        <v>359</v>
      </c>
      <c r="S120" s="1107"/>
      <c r="T120" s="1107"/>
      <c r="U120" s="1107"/>
      <c r="V120" s="548">
        <f>COUNTIF($AE$15:$AE$117,$AD$5)</f>
        <v>3</v>
      </c>
    </row>
    <row r="121" spans="1:32" ht="13.5" hidden="1" thickBot="1" x14ac:dyDescent="0.25">
      <c r="F121" s="543" t="s">
        <v>48</v>
      </c>
      <c r="G121" s="544">
        <f>L10</f>
        <v>38</v>
      </c>
      <c r="H121" s="545">
        <f>+H122+H123</f>
        <v>1</v>
      </c>
      <c r="I121" s="226"/>
      <c r="J121" s="226"/>
      <c r="Q121" s="71"/>
      <c r="R121" s="1082" t="s">
        <v>360</v>
      </c>
      <c r="S121" s="1083"/>
      <c r="T121" s="1083"/>
      <c r="U121" s="1083"/>
      <c r="V121" s="549">
        <f>COUNTIF($AE$15:$AE$117,$AD$6)</f>
        <v>1</v>
      </c>
    </row>
    <row r="122" spans="1:32" ht="17.25" hidden="1" thickBot="1" x14ac:dyDescent="0.25">
      <c r="A122" s="1069" t="s">
        <v>375</v>
      </c>
      <c r="B122" s="1070"/>
      <c r="C122" s="1071"/>
      <c r="F122" s="476" t="s">
        <v>56</v>
      </c>
      <c r="G122" s="539">
        <f>L11</f>
        <v>20</v>
      </c>
      <c r="H122" s="540">
        <f>+G122/G121</f>
        <v>0.52631578947368418</v>
      </c>
      <c r="I122" s="226"/>
      <c r="J122" s="226"/>
      <c r="Q122" s="71"/>
      <c r="R122" s="1084" t="s">
        <v>513</v>
      </c>
      <c r="S122" s="1085"/>
      <c r="T122" s="1085"/>
      <c r="U122" s="1085"/>
      <c r="V122" s="550">
        <f>COUNTIF($AE$15:$AE$117,$AD$7)</f>
        <v>26</v>
      </c>
    </row>
    <row r="123" spans="1:32" ht="17.25" hidden="1" thickBot="1" x14ac:dyDescent="0.25">
      <c r="A123" s="227"/>
      <c r="B123" s="1072" t="s">
        <v>23</v>
      </c>
      <c r="C123" s="1073"/>
      <c r="F123" s="477" t="s">
        <v>57</v>
      </c>
      <c r="G123" s="541">
        <f>G121-G122</f>
        <v>18</v>
      </c>
      <c r="H123" s="542">
        <f>+G123/G121</f>
        <v>0.47368421052631576</v>
      </c>
      <c r="I123" s="226"/>
      <c r="J123" s="226"/>
      <c r="Q123" s="71"/>
      <c r="R123" s="1098" t="s">
        <v>361</v>
      </c>
      <c r="S123" s="1099"/>
      <c r="T123" s="1099"/>
      <c r="U123" s="1099"/>
      <c r="V123" s="547">
        <f>SUM(V120:V122)</f>
        <v>30</v>
      </c>
      <c r="W123" s="9"/>
    </row>
    <row r="124" spans="1:32" hidden="1" x14ac:dyDescent="0.2">
      <c r="A124" s="228">
        <v>4</v>
      </c>
      <c r="B124" s="1016" t="s">
        <v>58</v>
      </c>
      <c r="C124" s="1017"/>
      <c r="K124" s="31"/>
      <c r="Q124" s="71"/>
      <c r="R124" s="234"/>
      <c r="S124" s="206"/>
      <c r="T124" s="206"/>
      <c r="U124" s="206"/>
      <c r="V124" s="206"/>
      <c r="W124" s="9"/>
      <c r="AD124" s="211"/>
    </row>
    <row r="125" spans="1:32" hidden="1" x14ac:dyDescent="0.2">
      <c r="A125" s="229">
        <v>3</v>
      </c>
      <c r="B125" s="1016" t="s">
        <v>59</v>
      </c>
      <c r="C125" s="1017"/>
      <c r="K125" s="31"/>
      <c r="Q125" s="71"/>
      <c r="W125" s="9"/>
    </row>
    <row r="126" spans="1:32" hidden="1" x14ac:dyDescent="0.2">
      <c r="A126" s="230">
        <v>6</v>
      </c>
      <c r="B126" s="1016" t="s">
        <v>61</v>
      </c>
      <c r="C126" s="1017"/>
      <c r="K126" s="31"/>
      <c r="Q126" s="71"/>
      <c r="W126" s="9"/>
    </row>
    <row r="127" spans="1:32" hidden="1" x14ac:dyDescent="0.2">
      <c r="A127" s="231"/>
      <c r="B127" s="1016" t="s">
        <v>110</v>
      </c>
      <c r="C127" s="1017"/>
      <c r="K127" s="31"/>
      <c r="Q127" s="71"/>
      <c r="W127" s="9"/>
    </row>
    <row r="128" spans="1:32" hidden="1" x14ac:dyDescent="0.2">
      <c r="A128" s="232"/>
      <c r="B128" s="1016" t="s">
        <v>60</v>
      </c>
      <c r="C128" s="1017"/>
      <c r="K128" s="31"/>
      <c r="Q128" s="71"/>
      <c r="R128" s="234"/>
      <c r="S128" s="206"/>
      <c r="T128" s="358"/>
      <c r="U128" s="211"/>
      <c r="V128" s="206"/>
      <c r="W128" s="9"/>
    </row>
    <row r="129" spans="1:23" ht="13.5" hidden="1" thickBot="1" x14ac:dyDescent="0.25">
      <c r="A129" s="233"/>
      <c r="B129" s="1014" t="s">
        <v>62</v>
      </c>
      <c r="C129" s="1015"/>
      <c r="K129" s="31"/>
      <c r="Q129" s="71"/>
      <c r="R129" s="234"/>
      <c r="S129" s="206"/>
      <c r="T129" s="206"/>
      <c r="U129" s="206"/>
    </row>
    <row r="130" spans="1:23" ht="33.75" hidden="1" customHeight="1" thickBot="1" x14ac:dyDescent="0.25">
      <c r="A130" s="226"/>
      <c r="K130" s="31"/>
      <c r="O130" s="1089" t="s">
        <v>366</v>
      </c>
      <c r="P130" s="1090"/>
      <c r="Q130" s="1090"/>
      <c r="R130" s="1090"/>
      <c r="S130" s="1090"/>
      <c r="T130" s="1091"/>
      <c r="U130" s="206"/>
    </row>
    <row r="131" spans="1:23" hidden="1" x14ac:dyDescent="0.2">
      <c r="K131" s="31"/>
      <c r="O131" s="1102" t="s">
        <v>363</v>
      </c>
      <c r="P131" s="1103"/>
      <c r="Q131" s="1103"/>
      <c r="R131" s="359">
        <f>COUNTIF($AA$15:$AA$117,$AB$5)</f>
        <v>13</v>
      </c>
      <c r="S131" s="444" t="s">
        <v>111</v>
      </c>
      <c r="T131" s="360">
        <f>COUNTIF($AC$15:$AC$117, $AC$5)</f>
        <v>3</v>
      </c>
      <c r="U131" s="79"/>
    </row>
    <row r="132" spans="1:23" ht="24" hidden="1" x14ac:dyDescent="0.2">
      <c r="K132" s="31"/>
      <c r="O132" s="1104" t="s">
        <v>364</v>
      </c>
      <c r="P132" s="1105"/>
      <c r="Q132" s="1105"/>
      <c r="R132" s="361">
        <f>COUNTIF($AA$15:$AA$117,$AB$6)</f>
        <v>17</v>
      </c>
      <c r="S132" s="445" t="s">
        <v>99</v>
      </c>
      <c r="T132" s="362">
        <f>COUNTIF($AC$15:$AC$117, $AC$6)</f>
        <v>1</v>
      </c>
      <c r="U132" s="79"/>
    </row>
    <row r="133" spans="1:23" ht="18" hidden="1" customHeight="1" x14ac:dyDescent="0.2">
      <c r="K133" s="31"/>
      <c r="O133" s="1104" t="s">
        <v>365</v>
      </c>
      <c r="P133" s="1105"/>
      <c r="Q133" s="1105"/>
      <c r="R133" s="361">
        <f>COUNTIF($AA$15:$AA$117,$AB$7)</f>
        <v>0</v>
      </c>
      <c r="S133" s="445" t="s">
        <v>100</v>
      </c>
      <c r="T133" s="362">
        <f>COUNTIF($AC$15:$AC$117, $AC$7)</f>
        <v>26</v>
      </c>
      <c r="U133" s="79"/>
    </row>
    <row r="134" spans="1:23" ht="16.5" hidden="1" thickBot="1" x14ac:dyDescent="0.25">
      <c r="K134" s="31"/>
      <c r="O134" s="1086" t="s">
        <v>361</v>
      </c>
      <c r="P134" s="1087"/>
      <c r="Q134" s="1088"/>
      <c r="R134" s="363">
        <f>SUM(R131:R133)</f>
        <v>30</v>
      </c>
      <c r="S134" s="364" t="s">
        <v>362</v>
      </c>
      <c r="T134" s="365">
        <f>SUM(T131:T133)</f>
        <v>30</v>
      </c>
      <c r="U134" s="79"/>
    </row>
    <row r="135" spans="1:23" ht="13.5" hidden="1" thickBot="1" x14ac:dyDescent="0.25">
      <c r="K135" s="31"/>
      <c r="Q135" s="71"/>
      <c r="R135" s="234"/>
      <c r="S135" s="206"/>
      <c r="T135" s="206"/>
      <c r="U135" s="206"/>
    </row>
    <row r="136" spans="1:23" hidden="1" x14ac:dyDescent="0.2">
      <c r="K136" s="31"/>
      <c r="Q136" s="71"/>
      <c r="R136" s="234"/>
      <c r="S136" s="1092" t="s">
        <v>367</v>
      </c>
      <c r="T136" s="1095">
        <f>+$V$120/($V$120+$V$122)</f>
        <v>0.10344827586206896</v>
      </c>
      <c r="U136" s="206"/>
      <c r="V136" s="206"/>
      <c r="W136" s="9"/>
    </row>
    <row r="137" spans="1:23" hidden="1" x14ac:dyDescent="0.2">
      <c r="Q137" s="71"/>
      <c r="R137" s="234"/>
      <c r="S137" s="1093"/>
      <c r="T137" s="1096"/>
      <c r="U137" s="206"/>
      <c r="V137" s="206"/>
      <c r="W137" s="9"/>
    </row>
    <row r="138" spans="1:23" hidden="1" x14ac:dyDescent="0.2">
      <c r="Q138" s="71"/>
      <c r="R138" s="234"/>
      <c r="S138" s="1093"/>
      <c r="T138" s="1096"/>
      <c r="U138" s="206"/>
      <c r="V138" s="206"/>
      <c r="W138" s="9"/>
    </row>
    <row r="139" spans="1:23" hidden="1" x14ac:dyDescent="0.2">
      <c r="Q139" s="71"/>
      <c r="R139" s="9"/>
      <c r="S139" s="1093"/>
      <c r="T139" s="1096"/>
      <c r="U139" s="79"/>
      <c r="V139" s="9"/>
      <c r="W139" s="9"/>
    </row>
    <row r="140" spans="1:23" hidden="1" x14ac:dyDescent="0.2">
      <c r="Q140" s="71"/>
      <c r="R140" s="9"/>
      <c r="S140" s="1093"/>
      <c r="T140" s="1096"/>
      <c r="U140" s="79"/>
      <c r="V140" s="9"/>
      <c r="W140" s="9"/>
    </row>
    <row r="141" spans="1:23" hidden="1" x14ac:dyDescent="0.2">
      <c r="Q141" s="71"/>
      <c r="R141" s="9"/>
      <c r="S141" s="1093"/>
      <c r="T141" s="1096"/>
      <c r="U141" s="79"/>
      <c r="V141" s="9"/>
      <c r="W141" s="9"/>
    </row>
    <row r="142" spans="1:23" ht="13.5" hidden="1" thickBot="1" x14ac:dyDescent="0.25">
      <c r="Q142" s="71"/>
      <c r="R142" s="9"/>
      <c r="S142" s="1094"/>
      <c r="T142" s="1097"/>
      <c r="U142" s="79"/>
      <c r="V142" s="9"/>
      <c r="W142" s="9"/>
    </row>
    <row r="143" spans="1:23" x14ac:dyDescent="0.2">
      <c r="Q143" s="71"/>
      <c r="R143" s="9"/>
      <c r="T143" s="9"/>
      <c r="U143" s="79"/>
      <c r="V143" s="9"/>
      <c r="W143" s="9"/>
    </row>
    <row r="144" spans="1:23" x14ac:dyDescent="0.2">
      <c r="Q144" s="71"/>
    </row>
    <row r="145" spans="17:17" x14ac:dyDescent="0.2">
      <c r="Q145" s="71"/>
    </row>
    <row r="146" spans="17:17" x14ac:dyDescent="0.2">
      <c r="Q146" s="71"/>
    </row>
    <row r="147" spans="17:17" x14ac:dyDescent="0.2">
      <c r="Q147" s="71"/>
    </row>
    <row r="148" spans="17:17" x14ac:dyDescent="0.2">
      <c r="Q148" s="71"/>
    </row>
    <row r="149" spans="17:17" x14ac:dyDescent="0.2">
      <c r="Q149" s="71"/>
    </row>
    <row r="150" spans="17:17" x14ac:dyDescent="0.2">
      <c r="Q150" s="71"/>
    </row>
    <row r="151" spans="17:17" x14ac:dyDescent="0.2">
      <c r="Q151" s="71"/>
    </row>
    <row r="152" spans="17:17" x14ac:dyDescent="0.2">
      <c r="Q152" s="71"/>
    </row>
    <row r="153" spans="17:17" x14ac:dyDescent="0.2">
      <c r="Q153" s="71"/>
    </row>
    <row r="154" spans="17:17" x14ac:dyDescent="0.2">
      <c r="Q154" s="71"/>
    </row>
    <row r="155" spans="17:17" x14ac:dyDescent="0.2">
      <c r="Q155" s="71"/>
    </row>
    <row r="156" spans="17:17" x14ac:dyDescent="0.2">
      <c r="Q156" s="71"/>
    </row>
    <row r="157" spans="17:17" x14ac:dyDescent="0.2">
      <c r="Q157" s="71"/>
    </row>
    <row r="158" spans="17:17" x14ac:dyDescent="0.2">
      <c r="Q158" s="71"/>
    </row>
    <row r="159" spans="17:17" x14ac:dyDescent="0.2">
      <c r="Q159" s="71"/>
    </row>
    <row r="160" spans="17:17" x14ac:dyDescent="0.2">
      <c r="Q160" s="71"/>
    </row>
    <row r="161" spans="17:17" x14ac:dyDescent="0.2">
      <c r="Q161" s="71"/>
    </row>
    <row r="162" spans="17:17" x14ac:dyDescent="0.2">
      <c r="Q162" s="71"/>
    </row>
    <row r="163" spans="17:17" x14ac:dyDescent="0.2">
      <c r="Q163" s="71"/>
    </row>
    <row r="164" spans="17:17" x14ac:dyDescent="0.2">
      <c r="Q164" s="71"/>
    </row>
    <row r="165" spans="17:17" x14ac:dyDescent="0.2">
      <c r="Q165" s="71"/>
    </row>
    <row r="166" spans="17:17" x14ac:dyDescent="0.2">
      <c r="Q166" s="71"/>
    </row>
    <row r="167" spans="17:17" x14ac:dyDescent="0.2">
      <c r="Q167" s="71"/>
    </row>
    <row r="168" spans="17:17" x14ac:dyDescent="0.2">
      <c r="Q168" s="71"/>
    </row>
    <row r="169" spans="17:17" x14ac:dyDescent="0.2">
      <c r="Q169" s="71"/>
    </row>
    <row r="170" spans="17:17" x14ac:dyDescent="0.2">
      <c r="Q170" s="71"/>
    </row>
    <row r="171" spans="17:17" x14ac:dyDescent="0.2">
      <c r="Q171" s="71"/>
    </row>
    <row r="172" spans="17:17" x14ac:dyDescent="0.2">
      <c r="Q172" s="71"/>
    </row>
    <row r="173" spans="17:17" x14ac:dyDescent="0.2">
      <c r="Q173" s="71"/>
    </row>
    <row r="174" spans="17:17" x14ac:dyDescent="0.2">
      <c r="Q174" s="71"/>
    </row>
    <row r="175" spans="17:17" x14ac:dyDescent="0.2">
      <c r="Q175" s="71"/>
    </row>
    <row r="176" spans="17:17" x14ac:dyDescent="0.2">
      <c r="Q176" s="71"/>
    </row>
    <row r="177" spans="17:17" x14ac:dyDescent="0.2">
      <c r="Q177" s="71"/>
    </row>
    <row r="178" spans="17:17" x14ac:dyDescent="0.2">
      <c r="Q178" s="71"/>
    </row>
    <row r="179" spans="17:17" x14ac:dyDescent="0.2">
      <c r="Q179" s="71"/>
    </row>
    <row r="180" spans="17:17" x14ac:dyDescent="0.2">
      <c r="Q180" s="71"/>
    </row>
    <row r="181" spans="17:17" x14ac:dyDescent="0.2">
      <c r="Q181" s="71"/>
    </row>
    <row r="182" spans="17:17" x14ac:dyDescent="0.2">
      <c r="Q182" s="71"/>
    </row>
    <row r="183" spans="17:17" x14ac:dyDescent="0.2">
      <c r="Q183" s="71"/>
    </row>
    <row r="184" spans="17:17" x14ac:dyDescent="0.2">
      <c r="Q184" s="71"/>
    </row>
    <row r="185" spans="17:17" x14ac:dyDescent="0.2">
      <c r="Q185" s="71"/>
    </row>
    <row r="186" spans="17:17" x14ac:dyDescent="0.2">
      <c r="Q186" s="71"/>
    </row>
    <row r="187" spans="17:17" x14ac:dyDescent="0.2">
      <c r="Q187" s="71"/>
    </row>
    <row r="188" spans="17:17" x14ac:dyDescent="0.2">
      <c r="Q188" s="71"/>
    </row>
    <row r="189" spans="17:17" x14ac:dyDescent="0.2">
      <c r="Q189" s="71"/>
    </row>
    <row r="190" spans="17:17" x14ac:dyDescent="0.2">
      <c r="Q190" s="71"/>
    </row>
    <row r="191" spans="17:17" x14ac:dyDescent="0.2">
      <c r="Q191" s="71"/>
    </row>
    <row r="192" spans="17:17" x14ac:dyDescent="0.2">
      <c r="Q192" s="71"/>
    </row>
    <row r="193" spans="17:17" x14ac:dyDescent="0.2">
      <c r="Q193" s="71"/>
    </row>
    <row r="194" spans="17:17" x14ac:dyDescent="0.2">
      <c r="Q194" s="71"/>
    </row>
    <row r="195" spans="17:17" x14ac:dyDescent="0.2">
      <c r="Q195" s="71"/>
    </row>
    <row r="196" spans="17:17" x14ac:dyDescent="0.2">
      <c r="Q196" s="71"/>
    </row>
    <row r="197" spans="17:17" x14ac:dyDescent="0.2">
      <c r="Q197" s="71"/>
    </row>
    <row r="198" spans="17:17" x14ac:dyDescent="0.2">
      <c r="Q198" s="71"/>
    </row>
    <row r="199" spans="17:17" x14ac:dyDescent="0.2">
      <c r="Q199" s="71"/>
    </row>
    <row r="200" spans="17:17" x14ac:dyDescent="0.2">
      <c r="Q200" s="71"/>
    </row>
    <row r="201" spans="17:17" x14ac:dyDescent="0.2">
      <c r="Q201" s="71"/>
    </row>
    <row r="202" spans="17:17" x14ac:dyDescent="0.2">
      <c r="Q202" s="71"/>
    </row>
    <row r="203" spans="17:17" x14ac:dyDescent="0.2">
      <c r="Q203" s="71"/>
    </row>
    <row r="204" spans="17:17" x14ac:dyDescent="0.2">
      <c r="Q204" s="71"/>
    </row>
    <row r="205" spans="17:17" x14ac:dyDescent="0.2">
      <c r="Q205" s="71"/>
    </row>
    <row r="206" spans="17:17" x14ac:dyDescent="0.2">
      <c r="Q206" s="71"/>
    </row>
    <row r="207" spans="17:17" x14ac:dyDescent="0.2">
      <c r="Q207" s="71"/>
    </row>
    <row r="208" spans="17:17" x14ac:dyDescent="0.2">
      <c r="Q208" s="71"/>
    </row>
    <row r="209" spans="17:17" x14ac:dyDescent="0.2">
      <c r="Q209" s="71"/>
    </row>
    <row r="210" spans="17:17" x14ac:dyDescent="0.2">
      <c r="Q210" s="71"/>
    </row>
    <row r="211" spans="17:17" x14ac:dyDescent="0.2">
      <c r="Q211" s="71"/>
    </row>
    <row r="212" spans="17:17" x14ac:dyDescent="0.2">
      <c r="Q212" s="71"/>
    </row>
    <row r="213" spans="17:17" x14ac:dyDescent="0.2">
      <c r="Q213" s="71"/>
    </row>
    <row r="214" spans="17:17" x14ac:dyDescent="0.2">
      <c r="Q214" s="71"/>
    </row>
    <row r="215" spans="17:17" x14ac:dyDescent="0.2">
      <c r="Q215" s="71"/>
    </row>
    <row r="216" spans="17:17" x14ac:dyDescent="0.2">
      <c r="Q216" s="71"/>
    </row>
    <row r="217" spans="17:17" x14ac:dyDescent="0.2">
      <c r="Q217" s="71"/>
    </row>
    <row r="218" spans="17:17" x14ac:dyDescent="0.2">
      <c r="Q218" s="71"/>
    </row>
    <row r="219" spans="17:17" x14ac:dyDescent="0.2">
      <c r="Q219" s="71"/>
    </row>
    <row r="220" spans="17:17" x14ac:dyDescent="0.2">
      <c r="Q220" s="71"/>
    </row>
    <row r="221" spans="17:17" x14ac:dyDescent="0.2">
      <c r="Q221" s="71"/>
    </row>
    <row r="222" spans="17:17" x14ac:dyDescent="0.2">
      <c r="Q222" s="71"/>
    </row>
    <row r="223" spans="17:17" x14ac:dyDescent="0.2">
      <c r="Q223" s="71"/>
    </row>
    <row r="224" spans="17:17" x14ac:dyDescent="0.2">
      <c r="Q224" s="71"/>
    </row>
    <row r="225" spans="17:17" x14ac:dyDescent="0.2">
      <c r="Q225" s="71"/>
    </row>
    <row r="226" spans="17:17" x14ac:dyDescent="0.2">
      <c r="Q226" s="71"/>
    </row>
    <row r="227" spans="17:17" x14ac:dyDescent="0.2">
      <c r="Q227" s="71"/>
    </row>
    <row r="228" spans="17:17" x14ac:dyDescent="0.2">
      <c r="Q228" s="71"/>
    </row>
    <row r="229" spans="17:17" x14ac:dyDescent="0.2">
      <c r="Q229" s="71"/>
    </row>
    <row r="230" spans="17:17" x14ac:dyDescent="0.2">
      <c r="Q230" s="71"/>
    </row>
    <row r="231" spans="17:17" x14ac:dyDescent="0.2">
      <c r="Q231" s="71"/>
    </row>
    <row r="232" spans="17:17" x14ac:dyDescent="0.2">
      <c r="Q232" s="71"/>
    </row>
    <row r="233" spans="17:17" x14ac:dyDescent="0.2">
      <c r="Q233" s="71"/>
    </row>
    <row r="234" spans="17:17" x14ac:dyDescent="0.2">
      <c r="Q234" s="71"/>
    </row>
    <row r="235" spans="17:17" x14ac:dyDescent="0.2">
      <c r="Q235" s="71"/>
    </row>
    <row r="236" spans="17:17" x14ac:dyDescent="0.2">
      <c r="Q236" s="71"/>
    </row>
    <row r="237" spans="17:17" x14ac:dyDescent="0.2">
      <c r="Q237" s="71"/>
    </row>
    <row r="238" spans="17:17" x14ac:dyDescent="0.2">
      <c r="Q238" s="71"/>
    </row>
    <row r="239" spans="17:17" x14ac:dyDescent="0.2">
      <c r="Q239" s="71"/>
    </row>
    <row r="240" spans="17:17" x14ac:dyDescent="0.2">
      <c r="Q240" s="71"/>
    </row>
    <row r="241" spans="17:17" x14ac:dyDescent="0.2">
      <c r="Q241" s="71"/>
    </row>
    <row r="242" spans="17:17" x14ac:dyDescent="0.2">
      <c r="Q242" s="71"/>
    </row>
  </sheetData>
  <sheetProtection algorithmName="SHA-512" hashValue="lwwECuvre4Dz0eMEZLtcgYnyj850dQP2Y3lN1B46y3yzZWWQrNlVmhSMnDhtiKcPBZPc1FyaJ+BndQLPygp9RA==" saltValue="jl/Hte8AVd7eGb7Pyfuzqw==" spinCount="100000" sheet="1" formatCells="0" autoFilter="0" pivotTables="0"/>
  <autoFilter ref="A14:AG134" xr:uid="{00000000-0009-0000-0000-000002000000}">
    <filterColumn colId="13" showButton="0"/>
    <filterColumn colId="14" showButton="0"/>
    <filterColumn colId="15" showButton="0"/>
    <filterColumn colId="19" showButton="0"/>
  </autoFilter>
  <dataConsolidate link="1"/>
  <mergeCells count="651">
    <mergeCell ref="AE111:AE113"/>
    <mergeCell ref="AF111:AF113"/>
    <mergeCell ref="T114:T115"/>
    <mergeCell ref="U114:U115"/>
    <mergeCell ref="V114:V115"/>
    <mergeCell ref="Y114:Y115"/>
    <mergeCell ref="Z114:Z115"/>
    <mergeCell ref="AA114:AA115"/>
    <mergeCell ref="AB114:AB115"/>
    <mergeCell ref="AC114:AC115"/>
    <mergeCell ref="AD114:AD115"/>
    <mergeCell ref="AE114:AE115"/>
    <mergeCell ref="T111:T113"/>
    <mergeCell ref="U111:U113"/>
    <mergeCell ref="V111:V113"/>
    <mergeCell ref="Y111:Y113"/>
    <mergeCell ref="Z111:Z113"/>
    <mergeCell ref="AA111:AA113"/>
    <mergeCell ref="AB111:AB113"/>
    <mergeCell ref="AC111:AC113"/>
    <mergeCell ref="AD111:AD113"/>
    <mergeCell ref="AF114:AF115"/>
    <mergeCell ref="AD105:AD107"/>
    <mergeCell ref="AE105:AE107"/>
    <mergeCell ref="AF105:AF107"/>
    <mergeCell ref="T108:T110"/>
    <mergeCell ref="U108:U110"/>
    <mergeCell ref="V108:V110"/>
    <mergeCell ref="Y108:Y110"/>
    <mergeCell ref="Z108:Z110"/>
    <mergeCell ref="AA108:AA110"/>
    <mergeCell ref="AB108:AB110"/>
    <mergeCell ref="AC108:AC110"/>
    <mergeCell ref="AD108:AD110"/>
    <mergeCell ref="AE108:AE110"/>
    <mergeCell ref="AF108:AF110"/>
    <mergeCell ref="AB105:AB107"/>
    <mergeCell ref="N114:Q114"/>
    <mergeCell ref="N115:Q115"/>
    <mergeCell ref="A105:A107"/>
    <mergeCell ref="B105:B107"/>
    <mergeCell ref="C105:C107"/>
    <mergeCell ref="D105:D107"/>
    <mergeCell ref="E105:E107"/>
    <mergeCell ref="E108:E110"/>
    <mergeCell ref="D108:D110"/>
    <mergeCell ref="C108:C110"/>
    <mergeCell ref="B108:B110"/>
    <mergeCell ref="A108:A110"/>
    <mergeCell ref="A111:A113"/>
    <mergeCell ref="B111:B113"/>
    <mergeCell ref="C111:C113"/>
    <mergeCell ref="D111:D113"/>
    <mergeCell ref="E111:E113"/>
    <mergeCell ref="A114:A115"/>
    <mergeCell ref="B114:B115"/>
    <mergeCell ref="C114:C115"/>
    <mergeCell ref="D114:D115"/>
    <mergeCell ref="E114:E115"/>
    <mergeCell ref="N105:Q105"/>
    <mergeCell ref="N106:Q106"/>
    <mergeCell ref="N108:Q108"/>
    <mergeCell ref="N109:Q109"/>
    <mergeCell ref="N110:Q110"/>
    <mergeCell ref="N111:Q111"/>
    <mergeCell ref="N112:Q112"/>
    <mergeCell ref="N113:Q113"/>
    <mergeCell ref="Y91:Y94"/>
    <mergeCell ref="Z75:Z83"/>
    <mergeCell ref="Z84:Z87"/>
    <mergeCell ref="Z88:Z90"/>
    <mergeCell ref="N107:Q107"/>
    <mergeCell ref="N83:Q83"/>
    <mergeCell ref="N90:Q90"/>
    <mergeCell ref="N91:Q91"/>
    <mergeCell ref="N92:Q92"/>
    <mergeCell ref="N93:Q93"/>
    <mergeCell ref="N84:Q84"/>
    <mergeCell ref="N80:Q80"/>
    <mergeCell ref="N81:Q81"/>
    <mergeCell ref="N94:Q94"/>
    <mergeCell ref="Z116:Z117"/>
    <mergeCell ref="Y105:Y107"/>
    <mergeCell ref="Z105:Z107"/>
    <mergeCell ref="AA3:AG3"/>
    <mergeCell ref="S8:U8"/>
    <mergeCell ref="S9:U9"/>
    <mergeCell ref="S10:U10"/>
    <mergeCell ref="S11:U11"/>
    <mergeCell ref="AC116:AC117"/>
    <mergeCell ref="AC102:AC104"/>
    <mergeCell ref="Z91:Z94"/>
    <mergeCell ref="Z95:Z98"/>
    <mergeCell ref="Z99:Z101"/>
    <mergeCell ref="Z102:Z104"/>
    <mergeCell ref="Y88:Y90"/>
    <mergeCell ref="AC18:AC20"/>
    <mergeCell ref="Y15:Y17"/>
    <mergeCell ref="AD23:AD26"/>
    <mergeCell ref="AD32:AD34"/>
    <mergeCell ref="AB21:AB22"/>
    <mergeCell ref="AB35:AB38"/>
    <mergeCell ref="AC35:AC38"/>
    <mergeCell ref="AD35:AD38"/>
    <mergeCell ref="AC105:AC107"/>
    <mergeCell ref="R121:U121"/>
    <mergeCell ref="R122:U122"/>
    <mergeCell ref="O134:Q134"/>
    <mergeCell ref="O130:T130"/>
    <mergeCell ref="S136:S142"/>
    <mergeCell ref="T136:T142"/>
    <mergeCell ref="R123:U123"/>
    <mergeCell ref="R119:U119"/>
    <mergeCell ref="O131:Q131"/>
    <mergeCell ref="O132:Q132"/>
    <mergeCell ref="O133:Q133"/>
    <mergeCell ref="R120:U120"/>
    <mergeCell ref="C72:C74"/>
    <mergeCell ref="E32:E34"/>
    <mergeCell ref="E57:E59"/>
    <mergeCell ref="E35:E38"/>
    <mergeCell ref="U35:U38"/>
    <mergeCell ref="T35:T38"/>
    <mergeCell ref="N61:Q61"/>
    <mergeCell ref="N32:Q32"/>
    <mergeCell ref="N53:Q53"/>
    <mergeCell ref="N47:Q47"/>
    <mergeCell ref="N60:Q60"/>
    <mergeCell ref="N48:Q48"/>
    <mergeCell ref="N49:Q49"/>
    <mergeCell ref="N51:Q51"/>
    <mergeCell ref="N52:Q52"/>
    <mergeCell ref="N54:Q54"/>
    <mergeCell ref="N55:Q55"/>
    <mergeCell ref="N16:Q16"/>
    <mergeCell ref="N19:Q19"/>
    <mergeCell ref="U69:U71"/>
    <mergeCell ref="U72:U74"/>
    <mergeCell ref="N29:Q29"/>
    <mergeCell ref="E66:E68"/>
    <mergeCell ref="E69:E71"/>
    <mergeCell ref="D69:D71"/>
    <mergeCell ref="E51:E53"/>
    <mergeCell ref="D51:D53"/>
    <mergeCell ref="E72:E74"/>
    <mergeCell ref="D72:D74"/>
    <mergeCell ref="N41:Q41"/>
    <mergeCell ref="N42:Q42"/>
    <mergeCell ref="N43:Q43"/>
    <mergeCell ref="N45:Q45"/>
    <mergeCell ref="U66:U68"/>
    <mergeCell ref="T18:T20"/>
    <mergeCell ref="N23:Q23"/>
    <mergeCell ref="N31:Q31"/>
    <mergeCell ref="N26:Q26"/>
    <mergeCell ref="N27:Q27"/>
    <mergeCell ref="N28:Q28"/>
    <mergeCell ref="T30:T31"/>
    <mergeCell ref="A84:A87"/>
    <mergeCell ref="F13:J13"/>
    <mergeCell ref="A122:C122"/>
    <mergeCell ref="B123:C123"/>
    <mergeCell ref="B127:C127"/>
    <mergeCell ref="A13:B13"/>
    <mergeCell ref="A23:A26"/>
    <mergeCell ref="B63:B65"/>
    <mergeCell ref="A63:A65"/>
    <mergeCell ref="D66:D68"/>
    <mergeCell ref="C66:C68"/>
    <mergeCell ref="B66:B68"/>
    <mergeCell ref="D13:D14"/>
    <mergeCell ref="A18:A20"/>
    <mergeCell ref="B18:B20"/>
    <mergeCell ref="C18:C20"/>
    <mergeCell ref="E15:E17"/>
    <mergeCell ref="E63:E65"/>
    <mergeCell ref="D63:D65"/>
    <mergeCell ref="C63:C65"/>
    <mergeCell ref="A39:A41"/>
    <mergeCell ref="B39:B41"/>
    <mergeCell ref="C39:C41"/>
    <mergeCell ref="D57:D59"/>
    <mergeCell ref="O11:P11"/>
    <mergeCell ref="N21:Q21"/>
    <mergeCell ref="A12:Q12"/>
    <mergeCell ref="P6:Q6"/>
    <mergeCell ref="V18:V20"/>
    <mergeCell ref="V13:V14"/>
    <mergeCell ref="W13:AF13"/>
    <mergeCell ref="AE15:AE17"/>
    <mergeCell ref="E21:E22"/>
    <mergeCell ref="B21:B22"/>
    <mergeCell ref="C21:C22"/>
    <mergeCell ref="D21:D22"/>
    <mergeCell ref="A21:A22"/>
    <mergeCell ref="D11:E11"/>
    <mergeCell ref="F11:K11"/>
    <mergeCell ref="A15:A17"/>
    <mergeCell ref="B15:B17"/>
    <mergeCell ref="C15:C17"/>
    <mergeCell ref="A11:C11"/>
    <mergeCell ref="D18:D20"/>
    <mergeCell ref="E18:E20"/>
    <mergeCell ref="E13:E14"/>
    <mergeCell ref="D15:D17"/>
    <mergeCell ref="P7:Q7"/>
    <mergeCell ref="D1:K1"/>
    <mergeCell ref="D3:K3"/>
    <mergeCell ref="F6:O6"/>
    <mergeCell ref="A8:C8"/>
    <mergeCell ref="F7:O7"/>
    <mergeCell ref="D8:E8"/>
    <mergeCell ref="A6:E7"/>
    <mergeCell ref="D10:E10"/>
    <mergeCell ref="F9:K9"/>
    <mergeCell ref="A9:C9"/>
    <mergeCell ref="D9:E9"/>
    <mergeCell ref="A10:C10"/>
    <mergeCell ref="F10:K10"/>
    <mergeCell ref="F8:K8"/>
    <mergeCell ref="O8:P8"/>
    <mergeCell ref="O10:P10"/>
    <mergeCell ref="O9:P9"/>
    <mergeCell ref="L10:N10"/>
    <mergeCell ref="L8:N8"/>
    <mergeCell ref="K13:L13"/>
    <mergeCell ref="N13:Q14"/>
    <mergeCell ref="N22:Q22"/>
    <mergeCell ref="N24:Q24"/>
    <mergeCell ref="B129:C129"/>
    <mergeCell ref="B124:C124"/>
    <mergeCell ref="B125:C125"/>
    <mergeCell ref="B126:C126"/>
    <mergeCell ref="B128:C128"/>
    <mergeCell ref="N15:Q15"/>
    <mergeCell ref="N17:Q17"/>
    <mergeCell ref="N18:Q18"/>
    <mergeCell ref="N20:Q20"/>
    <mergeCell ref="N74:Q74"/>
    <mergeCell ref="N62:Q62"/>
    <mergeCell ref="N63:Q63"/>
    <mergeCell ref="N64:Q64"/>
    <mergeCell ref="N65:Q65"/>
    <mergeCell ref="N66:Q66"/>
    <mergeCell ref="N67:Q67"/>
    <mergeCell ref="N34:Q34"/>
    <mergeCell ref="N38:Q38"/>
    <mergeCell ref="E24:E25"/>
    <mergeCell ref="D23:D26"/>
    <mergeCell ref="C23:C26"/>
    <mergeCell ref="B23:B26"/>
    <mergeCell ref="E27:E29"/>
    <mergeCell ref="N70:Q70"/>
    <mergeCell ref="V15:V17"/>
    <mergeCell ref="AB15:AB17"/>
    <mergeCell ref="V21:V22"/>
    <mergeCell ref="Z15:Z17"/>
    <mergeCell ref="V39:V41"/>
    <mergeCell ref="AA39:AA41"/>
    <mergeCell ref="AB39:AB41"/>
    <mergeCell ref="V45:V47"/>
    <mergeCell ref="Y45:Y47"/>
    <mergeCell ref="AA45:AA47"/>
    <mergeCell ref="AB45:AB47"/>
    <mergeCell ref="AA21:AA22"/>
    <mergeCell ref="V35:V38"/>
    <mergeCell ref="Z60:Z62"/>
    <mergeCell ref="Z63:Z65"/>
    <mergeCell ref="Z66:Z68"/>
    <mergeCell ref="Z69:Z71"/>
    <mergeCell ref="C57:C59"/>
    <mergeCell ref="B51:B53"/>
    <mergeCell ref="D27:D31"/>
    <mergeCell ref="AA15:AA17"/>
    <mergeCell ref="Y24:Y25"/>
    <mergeCell ref="Y27:Y29"/>
    <mergeCell ref="Y30:Y31"/>
    <mergeCell ref="AA35:AA38"/>
    <mergeCell ref="AC15:AC17"/>
    <mergeCell ref="AA18:AA20"/>
    <mergeCell ref="AC21:AC22"/>
    <mergeCell ref="Z18:Z20"/>
    <mergeCell ref="Z21:Z22"/>
    <mergeCell ref="Z24:Z25"/>
    <mergeCell ref="Z27:Z29"/>
    <mergeCell ref="Z30:Z31"/>
    <mergeCell ref="Z32:Z34"/>
    <mergeCell ref="AB24:AB25"/>
    <mergeCell ref="R13:S13"/>
    <mergeCell ref="N30:Q30"/>
    <mergeCell ref="N39:Q39"/>
    <mergeCell ref="N40:Q40"/>
    <mergeCell ref="N33:Q33"/>
    <mergeCell ref="T66:T68"/>
    <mergeCell ref="T69:T71"/>
    <mergeCell ref="T72:T74"/>
    <mergeCell ref="N78:Q78"/>
    <mergeCell ref="N72:Q72"/>
    <mergeCell ref="N25:Q25"/>
    <mergeCell ref="T24:T25"/>
    <mergeCell ref="T32:T34"/>
    <mergeCell ref="T45:T47"/>
    <mergeCell ref="T51:T53"/>
    <mergeCell ref="N71:Q71"/>
    <mergeCell ref="N56:Q56"/>
    <mergeCell ref="N57:Q57"/>
    <mergeCell ref="N58:Q58"/>
    <mergeCell ref="N59:Q59"/>
    <mergeCell ref="N44:Q44"/>
    <mergeCell ref="N50:Q50"/>
    <mergeCell ref="T13:U14"/>
    <mergeCell ref="N46:Q46"/>
    <mergeCell ref="A51:A53"/>
    <mergeCell ref="E54:E56"/>
    <mergeCell ref="D54:D56"/>
    <mergeCell ref="C54:C56"/>
    <mergeCell ref="B54:B56"/>
    <mergeCell ref="A54:A56"/>
    <mergeCell ref="D39:D41"/>
    <mergeCell ref="B42:B44"/>
    <mergeCell ref="A42:A44"/>
    <mergeCell ref="E45:E47"/>
    <mergeCell ref="D45:D47"/>
    <mergeCell ref="C45:C47"/>
    <mergeCell ref="B45:B47"/>
    <mergeCell ref="A45:A47"/>
    <mergeCell ref="E48:E50"/>
    <mergeCell ref="D48:D50"/>
    <mergeCell ref="C48:C50"/>
    <mergeCell ref="B48:B50"/>
    <mergeCell ref="D42:D44"/>
    <mergeCell ref="C42:C44"/>
    <mergeCell ref="C51:C53"/>
    <mergeCell ref="C27:C31"/>
    <mergeCell ref="B27:B31"/>
    <mergeCell ref="A27:A31"/>
    <mergeCell ref="C32:C34"/>
    <mergeCell ref="B32:B34"/>
    <mergeCell ref="A32:A34"/>
    <mergeCell ref="D32:D34"/>
    <mergeCell ref="D35:D38"/>
    <mergeCell ref="C35:C38"/>
    <mergeCell ref="B35:B38"/>
    <mergeCell ref="A35:A38"/>
    <mergeCell ref="D75:D83"/>
    <mergeCell ref="C75:C83"/>
    <mergeCell ref="B75:B83"/>
    <mergeCell ref="A75:A83"/>
    <mergeCell ref="D88:D94"/>
    <mergeCell ref="C88:C94"/>
    <mergeCell ref="B88:B94"/>
    <mergeCell ref="A88:A94"/>
    <mergeCell ref="A48:A50"/>
    <mergeCell ref="C69:C71"/>
    <mergeCell ref="B69:B71"/>
    <mergeCell ref="A69:A71"/>
    <mergeCell ref="B57:B59"/>
    <mergeCell ref="A57:A59"/>
    <mergeCell ref="D60:D62"/>
    <mergeCell ref="C60:C62"/>
    <mergeCell ref="B60:B62"/>
    <mergeCell ref="A60:A62"/>
    <mergeCell ref="A66:A68"/>
    <mergeCell ref="B72:B74"/>
    <mergeCell ref="A72:A74"/>
    <mergeCell ref="D84:D87"/>
    <mergeCell ref="C84:C87"/>
    <mergeCell ref="B84:B87"/>
    <mergeCell ref="AF15:AF17"/>
    <mergeCell ref="AE18:AE20"/>
    <mergeCell ref="AF18:AF20"/>
    <mergeCell ref="T21:T22"/>
    <mergeCell ref="AE21:AE22"/>
    <mergeCell ref="AF21:AF22"/>
    <mergeCell ref="AE23:AE26"/>
    <mergeCell ref="AF23:AF26"/>
    <mergeCell ref="V27:V31"/>
    <mergeCell ref="AA27:AA31"/>
    <mergeCell ref="AC27:AC31"/>
    <mergeCell ref="AE27:AE31"/>
    <mergeCell ref="AB27:AB31"/>
    <mergeCell ref="AD27:AD31"/>
    <mergeCell ref="AF27:AF31"/>
    <mergeCell ref="V23:V26"/>
    <mergeCell ref="AA23:AA26"/>
    <mergeCell ref="AC23:AC26"/>
    <mergeCell ref="AD15:AD17"/>
    <mergeCell ref="Y21:Y22"/>
    <mergeCell ref="AD18:AD20"/>
    <mergeCell ref="AD21:AD22"/>
    <mergeCell ref="AB18:AB20"/>
    <mergeCell ref="Y18:Y20"/>
    <mergeCell ref="T27:T29"/>
    <mergeCell ref="E75:E83"/>
    <mergeCell ref="N82:Q82"/>
    <mergeCell ref="N79:Q79"/>
    <mergeCell ref="E84:E87"/>
    <mergeCell ref="N87:Q87"/>
    <mergeCell ref="N88:Q88"/>
    <mergeCell ref="N89:Q89"/>
    <mergeCell ref="E30:E31"/>
    <mergeCell ref="E60:E62"/>
    <mergeCell ref="N68:Q68"/>
    <mergeCell ref="N69:Q69"/>
    <mergeCell ref="N73:Q73"/>
    <mergeCell ref="N77:Q77"/>
    <mergeCell ref="N75:Q75"/>
    <mergeCell ref="N76:Q76"/>
    <mergeCell ref="N85:Q85"/>
    <mergeCell ref="N86:Q86"/>
    <mergeCell ref="N35:Q35"/>
    <mergeCell ref="N36:Q36"/>
    <mergeCell ref="N37:Q37"/>
    <mergeCell ref="AE35:AE38"/>
    <mergeCell ref="AF35:AF38"/>
    <mergeCell ref="V32:V34"/>
    <mergeCell ref="AA32:AA34"/>
    <mergeCell ref="Y32:Y34"/>
    <mergeCell ref="AB32:AB34"/>
    <mergeCell ref="AC32:AC34"/>
    <mergeCell ref="Y35:Y38"/>
    <mergeCell ref="Z35:Z38"/>
    <mergeCell ref="AE32:AE34"/>
    <mergeCell ref="AF32:AF34"/>
    <mergeCell ref="AE39:AE41"/>
    <mergeCell ref="AF39:AF41"/>
    <mergeCell ref="V42:V44"/>
    <mergeCell ref="AA42:AA44"/>
    <mergeCell ref="AB42:AB44"/>
    <mergeCell ref="AC42:AC44"/>
    <mergeCell ref="AD42:AD44"/>
    <mergeCell ref="AE42:AE44"/>
    <mergeCell ref="AF42:AF44"/>
    <mergeCell ref="AD39:AD41"/>
    <mergeCell ref="AC39:AC41"/>
    <mergeCell ref="AE45:AE47"/>
    <mergeCell ref="AF45:AF47"/>
    <mergeCell ref="T48:T50"/>
    <mergeCell ref="V48:V50"/>
    <mergeCell ref="Y48:Y50"/>
    <mergeCell ref="AA48:AA50"/>
    <mergeCell ref="AB48:AB50"/>
    <mergeCell ref="AC48:AC50"/>
    <mergeCell ref="AD48:AD50"/>
    <mergeCell ref="AE48:AE50"/>
    <mergeCell ref="AF48:AF50"/>
    <mergeCell ref="AC45:AC47"/>
    <mergeCell ref="AD45:AD47"/>
    <mergeCell ref="Z45:Z47"/>
    <mergeCell ref="Z48:Z50"/>
    <mergeCell ref="AF51:AF53"/>
    <mergeCell ref="T54:T56"/>
    <mergeCell ref="V54:V56"/>
    <mergeCell ref="Y54:Y56"/>
    <mergeCell ref="AA54:AA56"/>
    <mergeCell ref="AB54:AB56"/>
    <mergeCell ref="AC54:AC56"/>
    <mergeCell ref="AD54:AD56"/>
    <mergeCell ref="AE54:AE56"/>
    <mergeCell ref="AF54:AF56"/>
    <mergeCell ref="V51:V53"/>
    <mergeCell ref="Z51:Z53"/>
    <mergeCell ref="Z54:Z56"/>
    <mergeCell ref="AD57:AD59"/>
    <mergeCell ref="AE57:AE59"/>
    <mergeCell ref="Y51:Y53"/>
    <mergeCell ref="AA51:AA53"/>
    <mergeCell ref="AB51:AB53"/>
    <mergeCell ref="AC51:AC53"/>
    <mergeCell ref="AD51:AD53"/>
    <mergeCell ref="AE51:AE53"/>
    <mergeCell ref="AA57:AA59"/>
    <mergeCell ref="AB57:AB59"/>
    <mergeCell ref="AC57:AC59"/>
    <mergeCell ref="Z57:Z59"/>
    <mergeCell ref="AF57:AF59"/>
    <mergeCell ref="T60:T62"/>
    <mergeCell ref="V60:V62"/>
    <mergeCell ref="T63:T65"/>
    <mergeCell ref="V63:V65"/>
    <mergeCell ref="V66:V68"/>
    <mergeCell ref="Y60:Y62"/>
    <mergeCell ref="AA60:AA62"/>
    <mergeCell ref="AB60:AB62"/>
    <mergeCell ref="AC60:AC62"/>
    <mergeCell ref="AD60:AD62"/>
    <mergeCell ref="AE60:AE62"/>
    <mergeCell ref="AF60:AF62"/>
    <mergeCell ref="Y63:Y65"/>
    <mergeCell ref="AA63:AA65"/>
    <mergeCell ref="AB63:AB65"/>
    <mergeCell ref="AC63:AC65"/>
    <mergeCell ref="AD63:AD65"/>
    <mergeCell ref="AE63:AE65"/>
    <mergeCell ref="AF63:AF65"/>
    <mergeCell ref="AA66:AA68"/>
    <mergeCell ref="T57:T59"/>
    <mergeCell ref="V57:V59"/>
    <mergeCell ref="Y57:Y59"/>
    <mergeCell ref="AF66:AF68"/>
    <mergeCell ref="V69:V71"/>
    <mergeCell ref="V72:V74"/>
    <mergeCell ref="AA69:AA71"/>
    <mergeCell ref="AB69:AB71"/>
    <mergeCell ref="AC69:AC71"/>
    <mergeCell ref="AD69:AD71"/>
    <mergeCell ref="AE69:AE71"/>
    <mergeCell ref="AF69:AF71"/>
    <mergeCell ref="AA72:AA74"/>
    <mergeCell ref="AB72:AB74"/>
    <mergeCell ref="AC72:AC74"/>
    <mergeCell ref="AD72:AD74"/>
    <mergeCell ref="AE72:AE74"/>
    <mergeCell ref="AF72:AF74"/>
    <mergeCell ref="Y66:Y68"/>
    <mergeCell ref="Y69:Y71"/>
    <mergeCell ref="Y72:Y74"/>
    <mergeCell ref="AB66:AB68"/>
    <mergeCell ref="AC66:AC68"/>
    <mergeCell ref="AD66:AD68"/>
    <mergeCell ref="AE66:AE68"/>
    <mergeCell ref="Z72:Z74"/>
    <mergeCell ref="AF75:AF83"/>
    <mergeCell ref="T84:T87"/>
    <mergeCell ref="V84:V87"/>
    <mergeCell ref="Y84:Y87"/>
    <mergeCell ref="AA84:AA87"/>
    <mergeCell ref="AB84:AB87"/>
    <mergeCell ref="AC84:AC87"/>
    <mergeCell ref="AD84:AD87"/>
    <mergeCell ref="AE84:AE87"/>
    <mergeCell ref="AF84:AF87"/>
    <mergeCell ref="U75:U83"/>
    <mergeCell ref="U84:U87"/>
    <mergeCell ref="T75:T83"/>
    <mergeCell ref="V75:V83"/>
    <mergeCell ref="Y75:Y83"/>
    <mergeCell ref="AA75:AA83"/>
    <mergeCell ref="AB75:AB83"/>
    <mergeCell ref="AC75:AC83"/>
    <mergeCell ref="AD75:AD83"/>
    <mergeCell ref="AE75:AE83"/>
    <mergeCell ref="V8:W8"/>
    <mergeCell ref="V9:W9"/>
    <mergeCell ref="U27:U29"/>
    <mergeCell ref="U30:U31"/>
    <mergeCell ref="U32:U34"/>
    <mergeCell ref="T15:T17"/>
    <mergeCell ref="AE95:AE98"/>
    <mergeCell ref="AF95:AF98"/>
    <mergeCell ref="U15:U17"/>
    <mergeCell ref="U18:U20"/>
    <mergeCell ref="U21:U22"/>
    <mergeCell ref="U24:U25"/>
    <mergeCell ref="AC88:AC94"/>
    <mergeCell ref="AD88:AD94"/>
    <mergeCell ref="AE88:AE94"/>
    <mergeCell ref="AF88:AF94"/>
    <mergeCell ref="U45:U47"/>
    <mergeCell ref="U48:U50"/>
    <mergeCell ref="U51:U53"/>
    <mergeCell ref="U54:U56"/>
    <mergeCell ref="U57:U59"/>
    <mergeCell ref="U60:U62"/>
    <mergeCell ref="U63:U65"/>
    <mergeCell ref="T88:T90"/>
    <mergeCell ref="C99:C101"/>
    <mergeCell ref="D99:D101"/>
    <mergeCell ref="E99:E101"/>
    <mergeCell ref="AD99:AD101"/>
    <mergeCell ref="AE99:AE101"/>
    <mergeCell ref="T91:T94"/>
    <mergeCell ref="V88:V94"/>
    <mergeCell ref="AA88:AA94"/>
    <mergeCell ref="AB88:AB94"/>
    <mergeCell ref="U88:U90"/>
    <mergeCell ref="U91:U94"/>
    <mergeCell ref="E88:E90"/>
    <mergeCell ref="E91:E94"/>
    <mergeCell ref="A102:A104"/>
    <mergeCell ref="B102:B104"/>
    <mergeCell ref="C102:C104"/>
    <mergeCell ref="D102:D104"/>
    <mergeCell ref="E102:E104"/>
    <mergeCell ref="AD4:AG4"/>
    <mergeCell ref="AD5:AG5"/>
    <mergeCell ref="AD6:AG6"/>
    <mergeCell ref="M13:M14"/>
    <mergeCell ref="E95:E98"/>
    <mergeCell ref="D95:D98"/>
    <mergeCell ref="C95:C98"/>
    <mergeCell ref="B95:B98"/>
    <mergeCell ref="N95:Q95"/>
    <mergeCell ref="N96:Q96"/>
    <mergeCell ref="N97:Q97"/>
    <mergeCell ref="N98:Q98"/>
    <mergeCell ref="AA95:AA98"/>
    <mergeCell ref="AB95:AB98"/>
    <mergeCell ref="AC95:AC98"/>
    <mergeCell ref="AD95:AD98"/>
    <mergeCell ref="AA99:AA101"/>
    <mergeCell ref="AB99:AB101"/>
    <mergeCell ref="AC99:AC101"/>
    <mergeCell ref="E116:E117"/>
    <mergeCell ref="D116:D117"/>
    <mergeCell ref="C116:C117"/>
    <mergeCell ref="B116:B117"/>
    <mergeCell ref="A116:A117"/>
    <mergeCell ref="Y95:Y98"/>
    <mergeCell ref="T95:T98"/>
    <mergeCell ref="V95:V98"/>
    <mergeCell ref="T99:T101"/>
    <mergeCell ref="V99:V101"/>
    <mergeCell ref="Y99:Y101"/>
    <mergeCell ref="U95:U98"/>
    <mergeCell ref="U116:U117"/>
    <mergeCell ref="N99:Q99"/>
    <mergeCell ref="N100:Q100"/>
    <mergeCell ref="N101:Q101"/>
    <mergeCell ref="N102:Q102"/>
    <mergeCell ref="N103:Q103"/>
    <mergeCell ref="N104:Q104"/>
    <mergeCell ref="N116:Q116"/>
    <mergeCell ref="N117:Q117"/>
    <mergeCell ref="A95:A98"/>
    <mergeCell ref="A99:A101"/>
    <mergeCell ref="B99:B101"/>
    <mergeCell ref="F120:H120"/>
    <mergeCell ref="AF99:AF101"/>
    <mergeCell ref="T102:T104"/>
    <mergeCell ref="T116:T117"/>
    <mergeCell ref="V116:V117"/>
    <mergeCell ref="Y116:Y117"/>
    <mergeCell ref="Y102:Y104"/>
    <mergeCell ref="AA102:AA104"/>
    <mergeCell ref="AA116:AA117"/>
    <mergeCell ref="AB102:AB104"/>
    <mergeCell ref="AB116:AB117"/>
    <mergeCell ref="AD102:AD104"/>
    <mergeCell ref="AF102:AF104"/>
    <mergeCell ref="AF116:AF117"/>
    <mergeCell ref="AD116:AD117"/>
    <mergeCell ref="AE102:AE104"/>
    <mergeCell ref="AE116:AE117"/>
    <mergeCell ref="V102:V104"/>
    <mergeCell ref="U99:U101"/>
    <mergeCell ref="U102:U104"/>
    <mergeCell ref="T105:T107"/>
    <mergeCell ref="U105:U107"/>
    <mergeCell ref="V105:V107"/>
    <mergeCell ref="AA105:AA107"/>
  </mergeCells>
  <phoneticPr fontId="2" type="noConversion"/>
  <conditionalFormatting sqref="N15 N100 N116:N117 N40:N41 N83 N35 N38 N17 N94 N102:N103">
    <cfRule type="cellIs" dxfId="171" priority="561" stopIfTrue="1" operator="equal">
      <formula>"Vencida"</formula>
    </cfRule>
    <cfRule type="cellIs" dxfId="170" priority="562" stopIfTrue="1" operator="equal">
      <formula>"Si"</formula>
    </cfRule>
  </conditionalFormatting>
  <conditionalFormatting sqref="N72">
    <cfRule type="cellIs" dxfId="169" priority="547" stopIfTrue="1" operator="equal">
      <formula>"Vencida"</formula>
    </cfRule>
    <cfRule type="cellIs" dxfId="168" priority="548" stopIfTrue="1" operator="equal">
      <formula>"Si"</formula>
    </cfRule>
  </conditionalFormatting>
  <conditionalFormatting sqref="N77">
    <cfRule type="cellIs" dxfId="167" priority="533" stopIfTrue="1" operator="equal">
      <formula>"Vencida"</formula>
    </cfRule>
    <cfRule type="cellIs" dxfId="166" priority="534" stopIfTrue="1" operator="equal">
      <formula>"Si"</formula>
    </cfRule>
  </conditionalFormatting>
  <conditionalFormatting sqref="AC15 AC18 AC21 AC23 AC27 AC32 AC35:AC36 AC39 AC42 AC45 AC48 AC75 AC51 AC54 AC57 AC60 AC63 AC66 AC69 AC72 AC84 AC88 AC95 AC99 AC102 AC105 AC108 AC111 AC114 AC116">
    <cfRule type="cellIs" dxfId="165" priority="518" operator="equal">
      <formula>$AC$7</formula>
    </cfRule>
    <cfRule type="cellIs" dxfId="164" priority="519" operator="equal">
      <formula>$AC$6</formula>
    </cfRule>
    <cfRule type="cellIs" dxfId="163" priority="520" operator="equal">
      <formula>$AC$5</formula>
    </cfRule>
  </conditionalFormatting>
  <conditionalFormatting sqref="AE15 AE18 AE21 AE23 AE27 AE32 AE35:AE36 AE39 AE42 AE45 AE48 AE75 AE51 AE54 AE57 AE60 AE63 AE66 AE69 AE72 AE84 AE88 AE95 AE99 AE102 AE116 AE105 AE108 AE111">
    <cfRule type="cellIs" dxfId="162" priority="515" operator="equal">
      <formula>$AD$7</formula>
    </cfRule>
    <cfRule type="cellIs" dxfId="161" priority="516" operator="equal">
      <formula>$AD$6</formula>
    </cfRule>
    <cfRule type="cellIs" dxfId="160" priority="517" operator="equal">
      <formula>$AD$5</formula>
    </cfRule>
  </conditionalFormatting>
  <conditionalFormatting sqref="AA27 Z21:AA21 Z23:AA23 Z15:AA15 Z24 Z26 Z30 Z32 Z75:AA75 Z84:AA84 Z88:AA88 Z91 Z95:AA95 Z99:AA99 Z116:AA116 AA35:AA36 AA39 AA42 Z72:AA72 Z102:AA102 Z35 Z39:Z44 Z105:AA105 Z18:AA18">
    <cfRule type="cellIs" dxfId="159" priority="275" operator="equal">
      <formula>$AB$7</formula>
    </cfRule>
    <cfRule type="cellIs" dxfId="158" priority="276" operator="equal">
      <formula>$AB$6</formula>
    </cfRule>
    <cfRule type="cellIs" dxfId="157" priority="277" operator="equal">
      <formula>$AB$5</formula>
    </cfRule>
  </conditionalFormatting>
  <conditionalFormatting sqref="Z114">
    <cfRule type="cellIs" dxfId="156" priority="257" operator="equal">
      <formula>$AB$7</formula>
    </cfRule>
    <cfRule type="cellIs" dxfId="155" priority="258" operator="equal">
      <formula>$AB$6</formula>
    </cfRule>
    <cfRule type="cellIs" dxfId="154" priority="259" operator="equal">
      <formula>$AB$5</formula>
    </cfRule>
  </conditionalFormatting>
  <conditionalFormatting sqref="AA114">
    <cfRule type="cellIs" dxfId="153" priority="254" operator="equal">
      <formula>$AB$7</formula>
    </cfRule>
    <cfRule type="cellIs" dxfId="152" priority="255" operator="equal">
      <formula>$AB$6</formula>
    </cfRule>
    <cfRule type="cellIs" dxfId="151" priority="256" operator="equal">
      <formula>$AB$5</formula>
    </cfRule>
  </conditionalFormatting>
  <conditionalFormatting sqref="AE114">
    <cfRule type="cellIs" dxfId="150" priority="251" operator="equal">
      <formula>$AD$7</formula>
    </cfRule>
    <cfRule type="cellIs" dxfId="149" priority="252" operator="equal">
      <formula>$AD$6</formula>
    </cfRule>
    <cfRule type="cellIs" dxfId="148" priority="253" operator="equal">
      <formula>$AD$5</formula>
    </cfRule>
  </conditionalFormatting>
  <conditionalFormatting sqref="N114">
    <cfRule type="cellIs" dxfId="147" priority="245" stopIfTrue="1" operator="equal">
      <formula>"Vencida"</formula>
    </cfRule>
    <cfRule type="cellIs" dxfId="146" priority="246" stopIfTrue="1" operator="equal">
      <formula>"Si"</formula>
    </cfRule>
  </conditionalFormatting>
  <conditionalFormatting sqref="N115">
    <cfRule type="cellIs" dxfId="145" priority="243" stopIfTrue="1" operator="equal">
      <formula>"Vencida"</formula>
    </cfRule>
    <cfRule type="cellIs" dxfId="144" priority="244" stopIfTrue="1" operator="equal">
      <formula>"Si"</formula>
    </cfRule>
  </conditionalFormatting>
  <conditionalFormatting sqref="N88 N90:N91">
    <cfRule type="cellIs" dxfId="143" priority="239" stopIfTrue="1" operator="equal">
      <formula>"Vencida"</formula>
    </cfRule>
    <cfRule type="cellIs" dxfId="142" priority="240" stopIfTrue="1" operator="equal">
      <formula>"Si"</formula>
    </cfRule>
  </conditionalFormatting>
  <conditionalFormatting sqref="N32:N34">
    <cfRule type="cellIs" dxfId="141" priority="237" stopIfTrue="1" operator="equal">
      <formula>"Vencida"</formula>
    </cfRule>
    <cfRule type="cellIs" dxfId="140" priority="238" stopIfTrue="1" operator="equal">
      <formula>"Si"</formula>
    </cfRule>
  </conditionalFormatting>
  <conditionalFormatting sqref="N45">
    <cfRule type="cellIs" dxfId="139" priority="235" stopIfTrue="1" operator="equal">
      <formula>"Vencida"</formula>
    </cfRule>
    <cfRule type="cellIs" dxfId="138" priority="236" stopIfTrue="1" operator="equal">
      <formula>"Si"</formula>
    </cfRule>
  </conditionalFormatting>
  <conditionalFormatting sqref="N84">
    <cfRule type="cellIs" dxfId="137" priority="221" stopIfTrue="1" operator="equal">
      <formula>"Vencida"</formula>
    </cfRule>
    <cfRule type="cellIs" dxfId="136" priority="222" stopIfTrue="1" operator="equal">
      <formula>"Si"</formula>
    </cfRule>
  </conditionalFormatting>
  <conditionalFormatting sqref="N51">
    <cfRule type="cellIs" dxfId="135" priority="211" stopIfTrue="1" operator="equal">
      <formula>"Vencida"</formula>
    </cfRule>
    <cfRule type="cellIs" dxfId="134" priority="212" stopIfTrue="1" operator="equal">
      <formula>"Si"</formula>
    </cfRule>
  </conditionalFormatting>
  <conditionalFormatting sqref="N48">
    <cfRule type="cellIs" dxfId="133" priority="201" stopIfTrue="1" operator="equal">
      <formula>"Vencida"</formula>
    </cfRule>
    <cfRule type="cellIs" dxfId="132" priority="202" stopIfTrue="1" operator="equal">
      <formula>"Si"</formula>
    </cfRule>
  </conditionalFormatting>
  <conditionalFormatting sqref="N54">
    <cfRule type="cellIs" dxfId="131" priority="199" stopIfTrue="1" operator="equal">
      <formula>"Vencida"</formula>
    </cfRule>
    <cfRule type="cellIs" dxfId="130" priority="200" stopIfTrue="1" operator="equal">
      <formula>"Si"</formula>
    </cfRule>
  </conditionalFormatting>
  <conditionalFormatting sqref="N57">
    <cfRule type="cellIs" dxfId="129" priority="197" stopIfTrue="1" operator="equal">
      <formula>"Vencida"</formula>
    </cfRule>
    <cfRule type="cellIs" dxfId="128" priority="198" stopIfTrue="1" operator="equal">
      <formula>"Si"</formula>
    </cfRule>
  </conditionalFormatting>
  <conditionalFormatting sqref="N60">
    <cfRule type="cellIs" dxfId="127" priority="195" stopIfTrue="1" operator="equal">
      <formula>"Vencida"</formula>
    </cfRule>
    <cfRule type="cellIs" dxfId="126" priority="196" stopIfTrue="1" operator="equal">
      <formula>"Si"</formula>
    </cfRule>
  </conditionalFormatting>
  <conditionalFormatting sqref="N63">
    <cfRule type="cellIs" dxfId="125" priority="193" stopIfTrue="1" operator="equal">
      <formula>"Vencida"</formula>
    </cfRule>
    <cfRule type="cellIs" dxfId="124" priority="194" stopIfTrue="1" operator="equal">
      <formula>"Si"</formula>
    </cfRule>
  </conditionalFormatting>
  <conditionalFormatting sqref="N99">
    <cfRule type="cellIs" dxfId="123" priority="191" stopIfTrue="1" operator="equal">
      <formula>"Vencida"</formula>
    </cfRule>
    <cfRule type="cellIs" dxfId="122" priority="192" stopIfTrue="1" operator="equal">
      <formula>"Si"</formula>
    </cfRule>
  </conditionalFormatting>
  <conditionalFormatting sqref="N21:N22">
    <cfRule type="cellIs" dxfId="121" priority="189" stopIfTrue="1" operator="equal">
      <formula>"Vencida"</formula>
    </cfRule>
    <cfRule type="cellIs" dxfId="120" priority="190" stopIfTrue="1" operator="equal">
      <formula>"Si"</formula>
    </cfRule>
  </conditionalFormatting>
  <conditionalFormatting sqref="N105">
    <cfRule type="cellIs" dxfId="119" priority="187" stopIfTrue="1" operator="equal">
      <formula>"Vencida"</formula>
    </cfRule>
    <cfRule type="cellIs" dxfId="118" priority="188" stopIfTrue="1" operator="equal">
      <formula>"Si"</formula>
    </cfRule>
  </conditionalFormatting>
  <conditionalFormatting sqref="N23:N25">
    <cfRule type="cellIs" dxfId="117" priority="183" stopIfTrue="1" operator="equal">
      <formula>"Vencida"</formula>
    </cfRule>
    <cfRule type="cellIs" dxfId="116" priority="184" stopIfTrue="1" operator="equal">
      <formula>"Si"</formula>
    </cfRule>
  </conditionalFormatting>
  <conditionalFormatting sqref="N26">
    <cfRule type="cellIs" dxfId="115" priority="181" stopIfTrue="1" operator="equal">
      <formula>"Vencida"</formula>
    </cfRule>
    <cfRule type="cellIs" dxfId="114" priority="182" stopIfTrue="1" operator="equal">
      <formula>"Si"</formula>
    </cfRule>
  </conditionalFormatting>
  <conditionalFormatting sqref="N27:N28">
    <cfRule type="cellIs" dxfId="113" priority="179" stopIfTrue="1" operator="equal">
      <formula>"Vencida"</formula>
    </cfRule>
    <cfRule type="cellIs" dxfId="112" priority="180" stopIfTrue="1" operator="equal">
      <formula>"Si"</formula>
    </cfRule>
  </conditionalFormatting>
  <conditionalFormatting sqref="N31">
    <cfRule type="cellIs" dxfId="111" priority="175" stopIfTrue="1" operator="equal">
      <formula>"Vencida"</formula>
    </cfRule>
    <cfRule type="cellIs" dxfId="110" priority="176" stopIfTrue="1" operator="equal">
      <formula>"Si"</formula>
    </cfRule>
  </conditionalFormatting>
  <conditionalFormatting sqref="N42:N43">
    <cfRule type="cellIs" dxfId="109" priority="171" stopIfTrue="1" operator="equal">
      <formula>"Vencida"</formula>
    </cfRule>
    <cfRule type="cellIs" dxfId="108" priority="172" stopIfTrue="1" operator="equal">
      <formula>"Si"</formula>
    </cfRule>
  </conditionalFormatting>
  <conditionalFormatting sqref="N44">
    <cfRule type="cellIs" dxfId="107" priority="169" stopIfTrue="1" operator="equal">
      <formula>"Vencida"</formula>
    </cfRule>
    <cfRule type="cellIs" dxfId="106" priority="170" stopIfTrue="1" operator="equal">
      <formula>"Si"</formula>
    </cfRule>
  </conditionalFormatting>
  <conditionalFormatting sqref="N106">
    <cfRule type="cellIs" dxfId="105" priority="147" stopIfTrue="1" operator="equal">
      <formula>"Vencida"</formula>
    </cfRule>
    <cfRule type="cellIs" dxfId="104" priority="148" stopIfTrue="1" operator="equal">
      <formula>"Si"</formula>
    </cfRule>
  </conditionalFormatting>
  <conditionalFormatting sqref="N107">
    <cfRule type="cellIs" dxfId="103" priority="145" stopIfTrue="1" operator="equal">
      <formula>"Vencida"</formula>
    </cfRule>
    <cfRule type="cellIs" dxfId="102" priority="146" stopIfTrue="1" operator="equal">
      <formula>"Si"</formula>
    </cfRule>
  </conditionalFormatting>
  <conditionalFormatting sqref="N109">
    <cfRule type="cellIs" dxfId="101" priority="143" stopIfTrue="1" operator="equal">
      <formula>"Vencida"</formula>
    </cfRule>
    <cfRule type="cellIs" dxfId="100" priority="144" stopIfTrue="1" operator="equal">
      <formula>"Si"</formula>
    </cfRule>
  </conditionalFormatting>
  <conditionalFormatting sqref="N110">
    <cfRule type="cellIs" dxfId="99" priority="141" stopIfTrue="1" operator="equal">
      <formula>"Vencida"</formula>
    </cfRule>
    <cfRule type="cellIs" dxfId="98" priority="142" stopIfTrue="1" operator="equal">
      <formula>"Si"</formula>
    </cfRule>
  </conditionalFormatting>
  <conditionalFormatting sqref="N108">
    <cfRule type="cellIs" dxfId="97" priority="139" stopIfTrue="1" operator="equal">
      <formula>"Vencida"</formula>
    </cfRule>
    <cfRule type="cellIs" dxfId="96" priority="140" stopIfTrue="1" operator="equal">
      <formula>"Si"</formula>
    </cfRule>
  </conditionalFormatting>
  <conditionalFormatting sqref="N75">
    <cfRule type="cellIs" dxfId="95" priority="129" stopIfTrue="1" operator="equal">
      <formula>"Vencida"</formula>
    </cfRule>
    <cfRule type="cellIs" dxfId="94" priority="130" stopIfTrue="1" operator="equal">
      <formula>"Si"</formula>
    </cfRule>
  </conditionalFormatting>
  <conditionalFormatting sqref="N76">
    <cfRule type="cellIs" dxfId="93" priority="127" stopIfTrue="1" operator="equal">
      <formula>"Vencida"</formula>
    </cfRule>
    <cfRule type="cellIs" dxfId="92" priority="128" stopIfTrue="1" operator="equal">
      <formula>"Si"</formula>
    </cfRule>
  </conditionalFormatting>
  <conditionalFormatting sqref="N78">
    <cfRule type="cellIs" dxfId="91" priority="125" stopIfTrue="1" operator="equal">
      <formula>"Vencida"</formula>
    </cfRule>
    <cfRule type="cellIs" dxfId="90" priority="126" stopIfTrue="1" operator="equal">
      <formula>"Si"</formula>
    </cfRule>
  </conditionalFormatting>
  <conditionalFormatting sqref="N79">
    <cfRule type="cellIs" dxfId="89" priority="123" stopIfTrue="1" operator="equal">
      <formula>"Vencida"</formula>
    </cfRule>
    <cfRule type="cellIs" dxfId="88" priority="124" stopIfTrue="1" operator="equal">
      <formula>"Si"</formula>
    </cfRule>
  </conditionalFormatting>
  <conditionalFormatting sqref="N95">
    <cfRule type="cellIs" dxfId="87" priority="121" stopIfTrue="1" operator="equal">
      <formula>"Vencida"</formula>
    </cfRule>
    <cfRule type="cellIs" dxfId="86" priority="122" stopIfTrue="1" operator="equal">
      <formula>"Si"</formula>
    </cfRule>
  </conditionalFormatting>
  <conditionalFormatting sqref="N89">
    <cfRule type="cellIs" dxfId="85" priority="115" stopIfTrue="1" operator="equal">
      <formula>"Vencida"</formula>
    </cfRule>
    <cfRule type="cellIs" dxfId="84" priority="116" stopIfTrue="1" operator="equal">
      <formula>"Si"</formula>
    </cfRule>
  </conditionalFormatting>
  <conditionalFormatting sqref="N46:N47">
    <cfRule type="cellIs" dxfId="83" priority="109" stopIfTrue="1" operator="equal">
      <formula>"Vencida"</formula>
    </cfRule>
    <cfRule type="cellIs" dxfId="82" priority="110" stopIfTrue="1" operator="equal">
      <formula>"Si"</formula>
    </cfRule>
  </conditionalFormatting>
  <conditionalFormatting sqref="N85">
    <cfRule type="cellIs" dxfId="81" priority="95" stopIfTrue="1" operator="equal">
      <formula>"Vencida"</formula>
    </cfRule>
    <cfRule type="cellIs" dxfId="80" priority="96" stopIfTrue="1" operator="equal">
      <formula>"Si"</formula>
    </cfRule>
  </conditionalFormatting>
  <conditionalFormatting sqref="N86">
    <cfRule type="cellIs" dxfId="79" priority="93" stopIfTrue="1" operator="equal">
      <formula>"Vencida"</formula>
    </cfRule>
    <cfRule type="cellIs" dxfId="78" priority="94" stopIfTrue="1" operator="equal">
      <formula>"Si"</formula>
    </cfRule>
  </conditionalFormatting>
  <conditionalFormatting sqref="N80">
    <cfRule type="cellIs" dxfId="77" priority="91" stopIfTrue="1" operator="equal">
      <formula>"Vencida"</formula>
    </cfRule>
    <cfRule type="cellIs" dxfId="76" priority="92" stopIfTrue="1" operator="equal">
      <formula>"Si"</formula>
    </cfRule>
  </conditionalFormatting>
  <conditionalFormatting sqref="N16">
    <cfRule type="cellIs" dxfId="75" priority="89" stopIfTrue="1" operator="equal">
      <formula>"Vencida"</formula>
    </cfRule>
    <cfRule type="cellIs" dxfId="74" priority="90" stopIfTrue="1" operator="equal">
      <formula>"Si"</formula>
    </cfRule>
  </conditionalFormatting>
  <conditionalFormatting sqref="N18 N20">
    <cfRule type="cellIs" dxfId="73" priority="87" stopIfTrue="1" operator="equal">
      <formula>"Vencida"</formula>
    </cfRule>
    <cfRule type="cellIs" dxfId="72" priority="88" stopIfTrue="1" operator="equal">
      <formula>"Si"</formula>
    </cfRule>
  </conditionalFormatting>
  <conditionalFormatting sqref="N29:N30">
    <cfRule type="cellIs" dxfId="71" priority="83" stopIfTrue="1" operator="equal">
      <formula>"Vencida"</formula>
    </cfRule>
    <cfRule type="cellIs" dxfId="70" priority="84" stopIfTrue="1" operator="equal">
      <formula>"Si"</formula>
    </cfRule>
  </conditionalFormatting>
  <conditionalFormatting sqref="N39">
    <cfRule type="cellIs" dxfId="69" priority="81" stopIfTrue="1" operator="equal">
      <formula>"Vencida"</formula>
    </cfRule>
    <cfRule type="cellIs" dxfId="68" priority="82" stopIfTrue="1" operator="equal">
      <formula>"Si"</formula>
    </cfRule>
  </conditionalFormatting>
  <conditionalFormatting sqref="N66 N68">
    <cfRule type="cellIs" dxfId="67" priority="79" stopIfTrue="1" operator="equal">
      <formula>"Vencida"</formula>
    </cfRule>
    <cfRule type="cellIs" dxfId="66" priority="80" stopIfTrue="1" operator="equal">
      <formula>"Si"</formula>
    </cfRule>
  </conditionalFormatting>
  <conditionalFormatting sqref="N67">
    <cfRule type="cellIs" dxfId="65" priority="77" stopIfTrue="1" operator="equal">
      <formula>"Vencida"</formula>
    </cfRule>
    <cfRule type="cellIs" dxfId="64" priority="78" stopIfTrue="1" operator="equal">
      <formula>"Si"</formula>
    </cfRule>
  </conditionalFormatting>
  <conditionalFormatting sqref="N69 N71">
    <cfRule type="cellIs" dxfId="63" priority="75" stopIfTrue="1" operator="equal">
      <formula>"Vencida"</formula>
    </cfRule>
    <cfRule type="cellIs" dxfId="62" priority="76" stopIfTrue="1" operator="equal">
      <formula>"Si"</formula>
    </cfRule>
  </conditionalFormatting>
  <conditionalFormatting sqref="N70">
    <cfRule type="cellIs" dxfId="61" priority="73" stopIfTrue="1" operator="equal">
      <formula>"Vencida"</formula>
    </cfRule>
    <cfRule type="cellIs" dxfId="60" priority="74" stopIfTrue="1" operator="equal">
      <formula>"Si"</formula>
    </cfRule>
  </conditionalFormatting>
  <conditionalFormatting sqref="N73">
    <cfRule type="cellIs" dxfId="59" priority="71" stopIfTrue="1" operator="equal">
      <formula>"Vencida"</formula>
    </cfRule>
    <cfRule type="cellIs" dxfId="58" priority="72" stopIfTrue="1" operator="equal">
      <formula>"Si"</formula>
    </cfRule>
  </conditionalFormatting>
  <conditionalFormatting sqref="N74">
    <cfRule type="cellIs" dxfId="57" priority="69" stopIfTrue="1" operator="equal">
      <formula>"Vencida"</formula>
    </cfRule>
    <cfRule type="cellIs" dxfId="56" priority="70" stopIfTrue="1" operator="equal">
      <formula>"Si"</formula>
    </cfRule>
  </conditionalFormatting>
  <conditionalFormatting sqref="N81">
    <cfRule type="cellIs" dxfId="55" priority="67" stopIfTrue="1" operator="equal">
      <formula>"Vencida"</formula>
    </cfRule>
    <cfRule type="cellIs" dxfId="54" priority="68" stopIfTrue="1" operator="equal">
      <formula>"Si"</formula>
    </cfRule>
  </conditionalFormatting>
  <conditionalFormatting sqref="N82">
    <cfRule type="cellIs" dxfId="53" priority="65" stopIfTrue="1" operator="equal">
      <formula>"Vencida"</formula>
    </cfRule>
    <cfRule type="cellIs" dxfId="52" priority="66" stopIfTrue="1" operator="equal">
      <formula>"Si"</formula>
    </cfRule>
  </conditionalFormatting>
  <conditionalFormatting sqref="N112">
    <cfRule type="cellIs" dxfId="51" priority="63" stopIfTrue="1" operator="equal">
      <formula>"Vencida"</formula>
    </cfRule>
    <cfRule type="cellIs" dxfId="50" priority="64" stopIfTrue="1" operator="equal">
      <formula>"Si"</formula>
    </cfRule>
  </conditionalFormatting>
  <conditionalFormatting sqref="N113">
    <cfRule type="cellIs" dxfId="49" priority="61" stopIfTrue="1" operator="equal">
      <formula>"Vencida"</formula>
    </cfRule>
    <cfRule type="cellIs" dxfId="48" priority="62" stopIfTrue="1" operator="equal">
      <formula>"Si"</formula>
    </cfRule>
  </conditionalFormatting>
  <conditionalFormatting sqref="N111">
    <cfRule type="cellIs" dxfId="47" priority="59" stopIfTrue="1" operator="equal">
      <formula>"Vencida"</formula>
    </cfRule>
    <cfRule type="cellIs" dxfId="46" priority="60" stopIfTrue="1" operator="equal">
      <formula>"Si"</formula>
    </cfRule>
  </conditionalFormatting>
  <conditionalFormatting sqref="N93">
    <cfRule type="cellIs" dxfId="45" priority="57" stopIfTrue="1" operator="equal">
      <formula>"Vencida"</formula>
    </cfRule>
    <cfRule type="cellIs" dxfId="44" priority="58" stopIfTrue="1" operator="equal">
      <formula>"Si"</formula>
    </cfRule>
  </conditionalFormatting>
  <conditionalFormatting sqref="N92">
    <cfRule type="cellIs" dxfId="43" priority="55" stopIfTrue="1" operator="equal">
      <formula>"Vencida"</formula>
    </cfRule>
    <cfRule type="cellIs" dxfId="42" priority="56" stopIfTrue="1" operator="equal">
      <formula>"Si"</formula>
    </cfRule>
  </conditionalFormatting>
  <conditionalFormatting sqref="N97:N98">
    <cfRule type="cellIs" dxfId="41" priority="53" stopIfTrue="1" operator="equal">
      <formula>"Vencida"</formula>
    </cfRule>
    <cfRule type="cellIs" dxfId="40" priority="54" stopIfTrue="1" operator="equal">
      <formula>"Si"</formula>
    </cfRule>
  </conditionalFormatting>
  <conditionalFormatting sqref="N96">
    <cfRule type="cellIs" dxfId="39" priority="51" stopIfTrue="1" operator="equal">
      <formula>"Vencida"</formula>
    </cfRule>
    <cfRule type="cellIs" dxfId="38" priority="52" stopIfTrue="1" operator="equal">
      <formula>"Si"</formula>
    </cfRule>
  </conditionalFormatting>
  <conditionalFormatting sqref="N101">
    <cfRule type="cellIs" dxfId="37" priority="49" stopIfTrue="1" operator="equal">
      <formula>"Vencida"</formula>
    </cfRule>
    <cfRule type="cellIs" dxfId="36" priority="50" stopIfTrue="1" operator="equal">
      <formula>"Si"</formula>
    </cfRule>
  </conditionalFormatting>
  <conditionalFormatting sqref="N104">
    <cfRule type="cellIs" dxfId="35" priority="47" stopIfTrue="1" operator="equal">
      <formula>"Vencida"</formula>
    </cfRule>
    <cfRule type="cellIs" dxfId="34" priority="48" stopIfTrue="1" operator="equal">
      <formula>"Si"</formula>
    </cfRule>
  </conditionalFormatting>
  <conditionalFormatting sqref="N49:N50">
    <cfRule type="cellIs" dxfId="33" priority="33" stopIfTrue="1" operator="equal">
      <formula>"Vencida"</formula>
    </cfRule>
    <cfRule type="cellIs" dxfId="32" priority="34" stopIfTrue="1" operator="equal">
      <formula>"Si"</formula>
    </cfRule>
  </conditionalFormatting>
  <conditionalFormatting sqref="N52:N53">
    <cfRule type="cellIs" dxfId="31" priority="31" stopIfTrue="1" operator="equal">
      <formula>"Vencida"</formula>
    </cfRule>
    <cfRule type="cellIs" dxfId="30" priority="32" stopIfTrue="1" operator="equal">
      <formula>"Si"</formula>
    </cfRule>
  </conditionalFormatting>
  <conditionalFormatting sqref="N55:N56">
    <cfRule type="cellIs" dxfId="29" priority="29" stopIfTrue="1" operator="equal">
      <formula>"Vencida"</formula>
    </cfRule>
    <cfRule type="cellIs" dxfId="28" priority="30" stopIfTrue="1" operator="equal">
      <formula>"Si"</formula>
    </cfRule>
  </conditionalFormatting>
  <conditionalFormatting sqref="N58:N59">
    <cfRule type="cellIs" dxfId="27" priority="27" stopIfTrue="1" operator="equal">
      <formula>"Vencida"</formula>
    </cfRule>
    <cfRule type="cellIs" dxfId="26" priority="28" stopIfTrue="1" operator="equal">
      <formula>"Si"</formula>
    </cfRule>
  </conditionalFormatting>
  <conditionalFormatting sqref="N61:N62">
    <cfRule type="cellIs" dxfId="25" priority="25" stopIfTrue="1" operator="equal">
      <formula>"Vencida"</formula>
    </cfRule>
    <cfRule type="cellIs" dxfId="24" priority="26" stopIfTrue="1" operator="equal">
      <formula>"Si"</formula>
    </cfRule>
  </conditionalFormatting>
  <conditionalFormatting sqref="N64:N65">
    <cfRule type="cellIs" dxfId="23" priority="23" stopIfTrue="1" operator="equal">
      <formula>"Vencida"</formula>
    </cfRule>
    <cfRule type="cellIs" dxfId="22" priority="24" stopIfTrue="1" operator="equal">
      <formula>"Si"</formula>
    </cfRule>
  </conditionalFormatting>
  <conditionalFormatting sqref="N87">
    <cfRule type="cellIs" dxfId="21" priority="21" stopIfTrue="1" operator="equal">
      <formula>"Vencida"</formula>
    </cfRule>
    <cfRule type="cellIs" dxfId="20" priority="22" stopIfTrue="1" operator="equal">
      <formula>"Si"</formula>
    </cfRule>
  </conditionalFormatting>
  <conditionalFormatting sqref="N19">
    <cfRule type="cellIs" dxfId="19" priority="19" stopIfTrue="1" operator="equal">
      <formula>"Vencida"</formula>
    </cfRule>
    <cfRule type="cellIs" dxfId="18" priority="20" stopIfTrue="1" operator="equal">
      <formula>"Si"</formula>
    </cfRule>
  </conditionalFormatting>
  <conditionalFormatting sqref="Z27">
    <cfRule type="cellIs" dxfId="17" priority="16" operator="equal">
      <formula>$AB$7</formula>
    </cfRule>
    <cfRule type="cellIs" dxfId="16" priority="17" operator="equal">
      <formula>$AB$6</formula>
    </cfRule>
    <cfRule type="cellIs" dxfId="15" priority="18" operator="equal">
      <formula>$AB$5</formula>
    </cfRule>
  </conditionalFormatting>
  <conditionalFormatting sqref="AA32">
    <cfRule type="cellIs" dxfId="14" priority="13" operator="equal">
      <formula>$AB$7</formula>
    </cfRule>
    <cfRule type="cellIs" dxfId="13" priority="14" operator="equal">
      <formula>$AB$6</formula>
    </cfRule>
    <cfRule type="cellIs" dxfId="12" priority="15" operator="equal">
      <formula>$AB$5</formula>
    </cfRule>
  </conditionalFormatting>
  <conditionalFormatting sqref="Z45:AA45 Z48:AA48 Z51:AA51 Z54:AA54 Z57:AA57 Z60:AA60 Z63:AA63">
    <cfRule type="cellIs" dxfId="11" priority="10" operator="equal">
      <formula>$AB$7</formula>
    </cfRule>
    <cfRule type="cellIs" dxfId="10" priority="11" operator="equal">
      <formula>$AB$6</formula>
    </cfRule>
    <cfRule type="cellIs" dxfId="9" priority="12" operator="equal">
      <formula>$AB$5</formula>
    </cfRule>
  </conditionalFormatting>
  <conditionalFormatting sqref="Z66:AA66 Z69:AA69">
    <cfRule type="cellIs" dxfId="8" priority="7" operator="equal">
      <formula>$AB$7</formula>
    </cfRule>
    <cfRule type="cellIs" dxfId="7" priority="8" operator="equal">
      <formula>$AB$6</formula>
    </cfRule>
    <cfRule type="cellIs" dxfId="6" priority="9" operator="equal">
      <formula>$AB$5</formula>
    </cfRule>
  </conditionalFormatting>
  <conditionalFormatting sqref="Z111:AA111">
    <cfRule type="cellIs" dxfId="5" priority="4" operator="equal">
      <formula>$AB$7</formula>
    </cfRule>
    <cfRule type="cellIs" dxfId="4" priority="5" operator="equal">
      <formula>$AB$6</formula>
    </cfRule>
    <cfRule type="cellIs" dxfId="3" priority="6" operator="equal">
      <formula>$AB$5</formula>
    </cfRule>
  </conditionalFormatting>
  <conditionalFormatting sqref="Z108:AA108">
    <cfRule type="cellIs" dxfId="2" priority="1" operator="equal">
      <formula>$AB$7</formula>
    </cfRule>
    <cfRule type="cellIs" dxfId="1" priority="2" operator="equal">
      <formula>$AB$6</formula>
    </cfRule>
    <cfRule type="cellIs" dxfId="0" priority="3" operator="equal">
      <formula>$AB$5</formula>
    </cfRule>
  </conditionalFormatting>
  <dataValidations count="8">
    <dataValidation type="date" operator="greaterThan" allowBlank="1" showInputMessage="1" showErrorMessage="1" errorTitle="INTRODUZCA FECHA" error="DD/MM/AA" promptTitle="FECHA DE ELABORACIÓN" prompt="Ingrese la fecha en la cual elabora el plan de manejo de riesgos" sqref="P3" xr:uid="{00000000-0002-0000-0200-000000000000}">
      <formula1>#REF!</formula1>
    </dataValidation>
    <dataValidation type="list" allowBlank="1" showInputMessage="1" showErrorMessage="1" sqref="AC15 AC102 AC84 AC75 AC69 AC72 AC63 AC60 AC66 AC57 AC54 AC51 AC48 AC45 AC42 AC39 AC35:AC36 AC32 AC27 AC23 AC21 AC88 AC95 AC99 AC18 AC105 AC108 AC111 AC114 AC116" xr:uid="{00000000-0002-0000-0200-000001000000}">
      <formula1>$AC$5:$AC$7</formula1>
    </dataValidation>
    <dataValidation type="list" allowBlank="1" showInputMessage="1" showErrorMessage="1" sqref="W15:W117" xr:uid="{00000000-0002-0000-0200-000002000000}">
      <formula1>$AA$5:$AA$7</formula1>
    </dataValidation>
    <dataValidation type="list" allowBlank="1" showInputMessage="1" showErrorMessage="1" sqref="M15:M117" xr:uid="{00000000-0002-0000-0200-000003000000}">
      <formula1>"NO TIENE, UNA, DOS, TRES, CUATRO, CINCO, SEIS O MAS"</formula1>
    </dataValidation>
    <dataValidation type="whole" operator="lessThanOrEqual" allowBlank="1" showInputMessage="1" showErrorMessage="1" errorTitle="PERMITE NUMERO ENTERO" error="El valor registrado no es un número entero._x000a_La celda no permite número décimal." sqref="K15:K117" xr:uid="{00000000-0002-0000-0200-000004000000}">
      <formula1>I15</formula1>
    </dataValidation>
    <dataValidation allowBlank="1" showInputMessage="1" showErrorMessage="1" promptTitle="NUMERO DE PRORROAS APROBADAS" prompt="Seleccione de la lista de desplegable el numero de prorrogas que le han sido aprobadas por el Comite Institucional de Control Interno y que le han sido comunicadas." sqref="M13:M14" xr:uid="{00000000-0002-0000-0200-000005000000}"/>
    <dataValidation allowBlank="1" showInputMessage="1" showErrorMessage="1" promptTitle="DESCRIPCION CUALITATIVO" prompt="Registre de manera resumida una descripcion del desarrollo de la actividad planteada y que representa el trabajo realizado para lograrla._x000a_Si no registra avance ni cuantitativo ni cualitativo, justifique las razones por las cuales no se presenta." sqref="N13:Q14" xr:uid="{00000000-0002-0000-0200-000006000000}"/>
    <dataValidation allowBlank="1" showInputMessage="1" showErrorMessage="1" promptTitle="AVANCE FISICO " prompt="Registre en numero entero la cantidad de unidades fisicas logradas, de acuerdo a la unidad de medida establecida._x000a__x000a_Si no, tiene avance en numero entero deje en blanco la celda y proceda a diligenciar la celda DESCRIPCION CUALITATIVO DEL AVANCE" sqref="K14" xr:uid="{00000000-0002-0000-0200-000007000000}"/>
  </dataValidations>
  <hyperlinks>
    <hyperlink ref="AF116:AF117" r:id="rId1" display="Plan de Desarrollo Institucional 2020-2028" xr:uid="{00000000-0004-0000-0200-000000000000}"/>
  </hyperlinks>
  <pageMargins left="0.98425196850393704" right="0.39370078740157483" top="0.39370078740157483" bottom="0.39370078740157483" header="0" footer="0.39370078740157483"/>
  <pageSetup paperSize="5" scale="65" orientation="landscape" r:id="rId2"/>
  <headerFooter alignWithMargins="0">
    <oddFooter>Página &amp;P de &amp;N</oddFooter>
  </headerFooter>
  <rowBreaks count="1" manualBreakCount="1">
    <brk id="117" max="15"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3"/>
  <sheetViews>
    <sheetView topLeftCell="A73" workbookViewId="0">
      <selection activeCell="J86" sqref="J86"/>
    </sheetView>
  </sheetViews>
  <sheetFormatPr baseColWidth="10" defaultRowHeight="12.75" x14ac:dyDescent="0.2"/>
  <sheetData>
    <row r="1" spans="1:8" ht="13.5" thickBot="1" x14ac:dyDescent="0.25"/>
    <row r="2" spans="1:8" ht="13.5" thickBot="1" x14ac:dyDescent="0.25">
      <c r="A2" s="1164" t="s">
        <v>371</v>
      </c>
      <c r="B2" s="1165"/>
      <c r="C2" s="1165"/>
      <c r="D2" s="1165"/>
      <c r="E2" s="1165"/>
      <c r="F2" s="1165"/>
      <c r="G2" s="1165"/>
      <c r="H2" s="1166"/>
    </row>
    <row r="24" spans="1:8" ht="13.5" thickBot="1" x14ac:dyDescent="0.25"/>
    <row r="25" spans="1:8" ht="13.5" thickBot="1" x14ac:dyDescent="0.25">
      <c r="A25" s="1164" t="s">
        <v>372</v>
      </c>
      <c r="B25" s="1165"/>
      <c r="C25" s="1165"/>
      <c r="D25" s="1165"/>
      <c r="E25" s="1165"/>
      <c r="F25" s="1165"/>
      <c r="G25" s="1165"/>
      <c r="H25" s="1166"/>
    </row>
    <row r="47" spans="1:8" ht="13.5" thickBot="1" x14ac:dyDescent="0.25"/>
    <row r="48" spans="1:8" ht="13.5" thickBot="1" x14ac:dyDescent="0.25">
      <c r="A48" s="1164" t="s">
        <v>373</v>
      </c>
      <c r="B48" s="1165"/>
      <c r="C48" s="1165"/>
      <c r="D48" s="1165"/>
      <c r="E48" s="1165"/>
      <c r="F48" s="1165"/>
      <c r="G48" s="1165"/>
      <c r="H48" s="1166"/>
    </row>
    <row r="72" spans="1:8" ht="13.5" thickBot="1" x14ac:dyDescent="0.25"/>
    <row r="73" spans="1:8" ht="13.5" thickBot="1" x14ac:dyDescent="0.25">
      <c r="A73" s="1164" t="s">
        <v>374</v>
      </c>
      <c r="B73" s="1165"/>
      <c r="C73" s="1165"/>
      <c r="D73" s="1165"/>
      <c r="E73" s="1165"/>
      <c r="F73" s="1165"/>
      <c r="G73" s="1165"/>
      <c r="H73" s="1166"/>
    </row>
  </sheetData>
  <mergeCells count="4">
    <mergeCell ref="A2:H2"/>
    <mergeCell ref="A25:H25"/>
    <mergeCell ref="A48:H48"/>
    <mergeCell ref="A73:H7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1115-F02 Informe PM</vt:lpstr>
      <vt:lpstr>1115-F02 Informe avance</vt:lpstr>
      <vt:lpstr>1115-F02 Informe avance Plan m </vt:lpstr>
      <vt:lpstr>RESUMEN GRAFICOS</vt:lpstr>
      <vt:lpstr>'1115-F02 Informe avance'!Área_de_impresión</vt:lpstr>
      <vt:lpstr>'1115-F02 Informe avance Plan m '!Área_de_impresión</vt:lpstr>
      <vt:lpstr>'1115-F02 Informe PM'!Área_de_impresión</vt:lpstr>
      <vt:lpstr>'1115-F02 Informe avance Plan m '!Títulos_a_imprimir</vt:lpstr>
      <vt:lpstr>'1115-F02 Informe PM'!Títulos_a_imprimir</vt:lpstr>
    </vt:vector>
  </TitlesOfParts>
  <Company>UTP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UTP</dc:creator>
  <cp:lastModifiedBy>TOSHIBA</cp:lastModifiedBy>
  <cp:lastPrinted>2019-11-22T21:31:13Z</cp:lastPrinted>
  <dcterms:created xsi:type="dcterms:W3CDTF">2005-10-13T16:43:11Z</dcterms:created>
  <dcterms:modified xsi:type="dcterms:W3CDTF">2021-04-30T13:25:20Z</dcterms:modified>
</cp:coreProperties>
</file>